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0"/>
  </bookViews>
  <sheets>
    <sheet name="Clas. por Objeto del Gasto." sheetId="1" r:id="rId1"/>
    <sheet name="Clas. Administrativa" sheetId="2" r:id="rId2"/>
    <sheet name="Clas. Funcional" sheetId="3" r:id="rId3"/>
    <sheet name="Clas, Tipo de Gasto" sheetId="4" r:id="rId4"/>
    <sheet name="Prioridades del Gasto" sheetId="5" r:id="rId5"/>
    <sheet name="Programas y Proyectos" sheetId="6" r:id="rId6"/>
    <sheet name="Analitico de Plazas " sheetId="7" r:id="rId7"/>
  </sheets>
  <definedNames/>
  <calcPr fullCalcOnLoad="1"/>
</workbook>
</file>

<file path=xl/sharedStrings.xml><?xml version="1.0" encoding="utf-8"?>
<sst xmlns="http://schemas.openxmlformats.org/spreadsheetml/2006/main" count="544" uniqueCount="335">
  <si>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</si>
  <si>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</si>
  <si>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</si>
  <si>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</si>
  <si>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</si>
  <si>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</si>
  <si>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</si>
  <si>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</si>
  <si>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</si>
  <si>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</si>
  <si>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</si>
  <si>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</si>
  <si>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</si>
  <si>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</si>
  <si>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</si>
  <si>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</si>
  <si>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</si>
  <si>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</si>
  <si>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</si>
  <si>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</si>
  <si>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</si>
  <si>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</si>
  <si>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</si>
  <si>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</si>
  <si>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</si>
  <si>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</si>
  <si>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</si>
  <si>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</si>
  <si>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</si>
  <si>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</si>
  <si>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</si>
  <si>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</si>
  <si>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</si>
  <si>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</si>
  <si>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</si>
  <si>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</si>
  <si>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</si>
  <si>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</si>
  <si>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</si>
  <si>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</si>
  <si>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</si>
  <si>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</si>
  <si>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</si>
  <si>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</si>
  <si>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</si>
  <si>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</si>
  <si>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Adeudos de Ejercicios Fiscales Anteriores (ADEFAS)</t>
  </si>
  <si>
    <t>Formato del Proyecto del Presupuesto de Egresos Armonizado:</t>
  </si>
  <si>
    <t>Clasificación Administrativa</t>
  </si>
  <si>
    <t>Poder Ejecutivo</t>
  </si>
  <si>
    <t>Poder Legislativo</t>
  </si>
  <si>
    <t>Poder Judicial</t>
  </si>
  <si>
    <t>Organos Autónomos*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</si>
  <si>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</si>
  <si>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</si>
  <si>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</si>
  <si>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</si>
  <si>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</si>
  <si>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</si>
  <si>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</si>
  <si>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</si>
  <si>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</si>
  <si>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</si>
  <si>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Organismos Descentralizados de la Administracion Pública</t>
  </si>
  <si>
    <t>Instituciones de Salud y Asistencia Social con Subsidio</t>
  </si>
  <si>
    <t>Transferencias a Municipios</t>
  </si>
  <si>
    <t>Gobierno del Estado de San Luis Potosí</t>
  </si>
  <si>
    <t>Instituciones Educativas y Culturales con Subsidio</t>
  </si>
  <si>
    <t>San Luis Próspero</t>
  </si>
  <si>
    <t>San Luis Incluyente</t>
  </si>
  <si>
    <t>San Luis Sustentable</t>
  </si>
  <si>
    <t>San Luis Seguro</t>
  </si>
  <si>
    <t>San Luis con Buen Gobierno</t>
  </si>
  <si>
    <t>Analítico de Plazas</t>
  </si>
  <si>
    <t>Programas y Proyectos</t>
  </si>
  <si>
    <t>PP01.04 Turismo</t>
  </si>
  <si>
    <t>Plaza/puesto</t>
  </si>
  <si>
    <t>Número de plazas</t>
  </si>
  <si>
    <t>Remuneraciones</t>
  </si>
  <si>
    <t>De</t>
  </si>
  <si>
    <t>hasta</t>
  </si>
  <si>
    <t>-</t>
  </si>
  <si>
    <t>LAVANDERA</t>
  </si>
  <si>
    <t>OPERADOR DE FOTOCOPIADORA</t>
  </si>
  <si>
    <t>MOZO DE ORDENANZAS</t>
  </si>
  <si>
    <t>AUXILIAR DE MANTENIMIENTO</t>
  </si>
  <si>
    <t>MOZO DE OFICINA</t>
  </si>
  <si>
    <t>PEON</t>
  </si>
  <si>
    <t>CHOFER DE SEGUNDA</t>
  </si>
  <si>
    <t>COCINERA</t>
  </si>
  <si>
    <t>RECEPCIONISTA</t>
  </si>
  <si>
    <t>VELADOR</t>
  </si>
  <si>
    <t>JARDINERO</t>
  </si>
  <si>
    <t>ENCARGADO DE SALA</t>
  </si>
  <si>
    <t>ALMACENISTA</t>
  </si>
  <si>
    <t>AUX ADMVO DE LA PART</t>
  </si>
  <si>
    <t>AUXILIAR DE ESCENOGRAFO</t>
  </si>
  <si>
    <t>PELUQUERO</t>
  </si>
  <si>
    <t>PINTOR</t>
  </si>
  <si>
    <t>PLOMERO</t>
  </si>
  <si>
    <t>AUXILIAR DE PUERICULTISTA</t>
  </si>
  <si>
    <t>AUXILIAR DE NUTRICION</t>
  </si>
  <si>
    <t>CHOFER DE PRIMERA</t>
  </si>
  <si>
    <t>ENCUADERNADOR</t>
  </si>
  <si>
    <t>MECANICO DE PRIMERA</t>
  </si>
  <si>
    <t>ELECTRICISTA</t>
  </si>
  <si>
    <t>ENFERMERA AUXILIAR</t>
  </si>
  <si>
    <t>ANALISTA NO ESPECIALIZADO</t>
  </si>
  <si>
    <t>SRIA TAQUIMECANOGRAFA</t>
  </si>
  <si>
    <t>CAPACITADOR</t>
  </si>
  <si>
    <t>DIBUJANTE</t>
  </si>
  <si>
    <t>MAESTRO O EDUCADOR</t>
  </si>
  <si>
    <t>OPERADOR DE MAQ PESADA</t>
  </si>
  <si>
    <t>TECNICO NO ESPECIALIZADO</t>
  </si>
  <si>
    <t>INSPECTOR</t>
  </si>
  <si>
    <t>SUPERVISOR</t>
  </si>
  <si>
    <t>MECANOGRAFA</t>
  </si>
  <si>
    <t>ARCHIVISTA</t>
  </si>
  <si>
    <t>AUXILIAR ADMINISTRATIVO</t>
  </si>
  <si>
    <t>BIBLIOTECARIO</t>
  </si>
  <si>
    <t>VISITADOR</t>
  </si>
  <si>
    <t>TRABAJADORA SOCIAL</t>
  </si>
  <si>
    <t>AUXILIAR DE PROGRAMACION</t>
  </si>
  <si>
    <t>MUSICO `B`</t>
  </si>
  <si>
    <t>JEFE DE COCINA</t>
  </si>
  <si>
    <t>ENCARGADO DE CAJAS</t>
  </si>
  <si>
    <t>CAPTURISTA</t>
  </si>
  <si>
    <t>SECRETARIA CAPTURISTA</t>
  </si>
  <si>
    <t>ANALISTA DE ORG Y METODOS</t>
  </si>
  <si>
    <t>AUX EN ADMINISTRACION</t>
  </si>
  <si>
    <t>AUX EN CONTABILIDAD</t>
  </si>
  <si>
    <t>AUXILIAR DE AUDITOR</t>
  </si>
  <si>
    <t>AUXILIAR DE MEDICO</t>
  </si>
  <si>
    <t>AUXILIAR JURIDICO</t>
  </si>
  <si>
    <t>MUSICO DE PRIMERA</t>
  </si>
  <si>
    <t>OFICIAL DE PARTES</t>
  </si>
  <si>
    <t>TECNICO ESPECIALIZADO</t>
  </si>
  <si>
    <t>DISEÑADOR GRAFICO</t>
  </si>
  <si>
    <t>VIGILANTE</t>
  </si>
  <si>
    <t>REPRESENTANTE OBRERO</t>
  </si>
  <si>
    <t>REPRESENTANTE PATRONAL</t>
  </si>
  <si>
    <t>ANALISTA DE SIST COMP</t>
  </si>
  <si>
    <t>CHOFER DE TRAILER</t>
  </si>
  <si>
    <t>PROG DE COMPUTADORA</t>
  </si>
  <si>
    <t>SRIA DE DIRECTOR</t>
  </si>
  <si>
    <t>AGENTE FISCAL</t>
  </si>
  <si>
    <t>JEFE DE GRUPO</t>
  </si>
  <si>
    <t>CAJERO</t>
  </si>
  <si>
    <t>MUSICO SOLISTA</t>
  </si>
  <si>
    <t>PSICOLOGO</t>
  </si>
  <si>
    <t>REPORTERO</t>
  </si>
  <si>
    <t>ENFERMERA TITULADA</t>
  </si>
  <si>
    <t>INSPECTOR ESPECIALIZADO</t>
  </si>
  <si>
    <t>SUPERVISOR ESPECIALIZADO</t>
  </si>
  <si>
    <t>CONCILIADOR</t>
  </si>
  <si>
    <t>DICTAMINADOR</t>
  </si>
  <si>
    <t>JEFE DE SECCION</t>
  </si>
  <si>
    <t>MEDICO GENERAL</t>
  </si>
  <si>
    <t>MUSICO MAYOR</t>
  </si>
  <si>
    <t>ODONTOLOGO</t>
  </si>
  <si>
    <t>ABOGADO ESPECIALIZADO</t>
  </si>
  <si>
    <t>SECRETARIA DE SECRETARIO</t>
  </si>
  <si>
    <t>AUDITOR</t>
  </si>
  <si>
    <t>ABOGADO</t>
  </si>
  <si>
    <t>COORDINADOR DE VUELOS</t>
  </si>
  <si>
    <t>ING EN SIST COMPUTACIONAL</t>
  </si>
  <si>
    <t>MEDICO ESPECIALIZADO</t>
  </si>
  <si>
    <t>INVESTIGADOR</t>
  </si>
  <si>
    <t>JEFE DE OFICINA</t>
  </si>
  <si>
    <t>SRIA DEL DESP DEL C GOB</t>
  </si>
  <si>
    <t>ENCARGADO DE PROGRAMA</t>
  </si>
  <si>
    <t>JUEZ MAESTRO</t>
  </si>
  <si>
    <t>SECRETARIO PROYECTISTA</t>
  </si>
  <si>
    <t>REGISTRADOR</t>
  </si>
  <si>
    <t>SUB-PROC DEFENSA DEL TRAB</t>
  </si>
  <si>
    <t>JEFE DE BIBLIOTECA</t>
  </si>
  <si>
    <t>JEFE DE DEPARTAMENTO</t>
  </si>
  <si>
    <t>JEFE DE MUSEO</t>
  </si>
  <si>
    <t>JEFE DE OF SUB DE RENTA</t>
  </si>
  <si>
    <t>SUPERVISOR GENERAL</t>
  </si>
  <si>
    <t>INSPECTOR GENERAL</t>
  </si>
  <si>
    <t>DEFENSOR DE OFICIO</t>
  </si>
  <si>
    <t>ACTUARIO</t>
  </si>
  <si>
    <t>MEDICO ESPECIALIZADO CERESO</t>
  </si>
  <si>
    <t>DEFENSOR PUBLICO</t>
  </si>
  <si>
    <t>SECRETARIO DE ACUERDOS</t>
  </si>
  <si>
    <t>SRIO GRAL J ESP C A</t>
  </si>
  <si>
    <t>SRIA EJECT DESP DEL C GOB</t>
  </si>
  <si>
    <t>SUB-DIRECTOR</t>
  </si>
  <si>
    <t>SRIO PART DEL TESORERO</t>
  </si>
  <si>
    <t>REPRESENTANTE DE ZONA</t>
  </si>
  <si>
    <t>DIRECTOR DE AREA</t>
  </si>
  <si>
    <t>PDTE JUNTA ESP DE C Y A</t>
  </si>
  <si>
    <t>PROCURADOR DEF DEL TRAB</t>
  </si>
  <si>
    <t>PROCURADOR FISCAL</t>
  </si>
  <si>
    <t>SRIO PART DE SECRETARIO</t>
  </si>
  <si>
    <t>SRIO GRAL JLCA</t>
  </si>
  <si>
    <t>DIRECTOR GENERAL</t>
  </si>
  <si>
    <t>ASESOR DEL C GOBERNADOR</t>
  </si>
  <si>
    <t>PILOTO DE AVIACION</t>
  </si>
  <si>
    <t>SECRETARIO PRIVADO</t>
  </si>
  <si>
    <t>PTE JTA LOC CONC Y ARB</t>
  </si>
  <si>
    <t>SUB-SECRETARIO</t>
  </si>
  <si>
    <t>TESORERO GENERAL</t>
  </si>
  <si>
    <t>COORDINADOR GRAL</t>
  </si>
  <si>
    <t>SRIO PART C GOBERNADOR</t>
  </si>
  <si>
    <t>COORDINADOR DE ASESORES</t>
  </si>
  <si>
    <t>REP GOB DEL EDO DF</t>
  </si>
  <si>
    <t>SECRETARIO</t>
  </si>
  <si>
    <t>SUB-OFICIAL</t>
  </si>
  <si>
    <t>OFICIAL</t>
  </si>
  <si>
    <t>JEFE DE TURNO</t>
  </si>
  <si>
    <t>JEFE DE VIGILANCIA</t>
  </si>
  <si>
    <t>Otras entidades Paraestatales y organismos</t>
  </si>
  <si>
    <t>AYUDANTE GENERAL</t>
  </si>
  <si>
    <t>VIGILANTE DE SEGURIDAD</t>
  </si>
  <si>
    <t>CABO DE ORDENANZAS</t>
  </si>
  <si>
    <t>OPERADOR TECNICO DE EMERGENCIA</t>
  </si>
  <si>
    <t>INSPECTOR FITOZOOSANITARIO</t>
  </si>
  <si>
    <t>EVALUADOR DE PROGRAMA</t>
  </si>
  <si>
    <t>AUXILIAR EN INFORMATICA</t>
  </si>
  <si>
    <t xml:space="preserve">ANALISTA JURIDICO   </t>
  </si>
  <si>
    <t>ASISTENTE ADMINISTRATIVO</t>
  </si>
  <si>
    <t>POLICIA C</t>
  </si>
  <si>
    <t>OFICIAL ADMVO DE SEGURIDAD C</t>
  </si>
  <si>
    <t>POLICIA C (CERTIFICADO)</t>
  </si>
  <si>
    <t>ANALISTA JURIDICA (O) DE SEGURIDAD</t>
  </si>
  <si>
    <t>APOYO ADMINISTRATIVA (O) SE SEGURIDAD</t>
  </si>
  <si>
    <t>POLICIA B</t>
  </si>
  <si>
    <t>OFICIAL ADMVO DE SEGURIDAD B</t>
  </si>
  <si>
    <t xml:space="preserve">POLICIA A   </t>
  </si>
  <si>
    <t>CUSTODIO A</t>
  </si>
  <si>
    <t>OFICIAL ADMVO DE SEGURIDAD A</t>
  </si>
  <si>
    <t>ASISTENTE TECNICO</t>
  </si>
  <si>
    <t>CUSTODIO B</t>
  </si>
  <si>
    <t>JEFE DE GRUPO (SEGURIDAD Y CUSTODIA)</t>
  </si>
  <si>
    <t>JEFE DE GRUPO ADMVO DE SEGURIDAD</t>
  </si>
  <si>
    <t>SUB-OFICIAL DE SEGURIDAD</t>
  </si>
  <si>
    <t>OFICIAL PRIMERO DE SEGURIDAD</t>
  </si>
  <si>
    <t>JEFE DE SECC.SEG. Y CUST.</t>
  </si>
  <si>
    <t>CMDTE. (ADMVO.SUB-TENIENTE)</t>
  </si>
  <si>
    <t>PSIQUIATRA SEGURIDAD Y CUSTODIA</t>
  </si>
  <si>
    <t>MEDICO CIRUJANO DE SEGURIDAD Y CUSTODIA</t>
  </si>
  <si>
    <t>ENFERMERA (O) SEGURIDAD Y CUSTODIA</t>
  </si>
  <si>
    <t>JUEZ MEDICO</t>
  </si>
  <si>
    <t>JEFE DE GRUPO. SEG. Y CUST.</t>
  </si>
  <si>
    <t>JEFE DE OFICINA ADMVA. DE SEG.</t>
  </si>
  <si>
    <t>SUB-JEFE DE SEG.Y CUSTOD.</t>
  </si>
  <si>
    <t>PRIMER OFICIAL (PROCURADURIA)</t>
  </si>
  <si>
    <t>ODONTOLOGA (O)SEGURIDAD Y CUSTODIA</t>
  </si>
  <si>
    <t>SRIO.GRAL.PENITENCIARIA</t>
  </si>
  <si>
    <t>CONSEJERO JURIDICO DE GOBIERNO</t>
  </si>
  <si>
    <t>C. GOBERNADOR</t>
  </si>
  <si>
    <t xml:space="preserve">Previsiones </t>
  </si>
  <si>
    <t>PP01.01 Empleo y Capacitación 
para el Trabajo</t>
  </si>
  <si>
    <t>PP01.02 Industria, Comercios y Servicios y Minería</t>
  </si>
  <si>
    <t>PP01.03 Ciencia, Tecnología e Innovación</t>
  </si>
  <si>
    <t>PP01.05 Desarrollo Rural Sustentable</t>
  </si>
  <si>
    <t>PP01.06 Sustentabilidad e Imagen urbana</t>
  </si>
  <si>
    <t>PP01.07 Caminos rurales, carretaras alimentadoras y ejes troncales</t>
  </si>
  <si>
    <t>PP01.08 Transporte y mobilidad urbana, telecomunicaciones y servicios digitales</t>
  </si>
  <si>
    <t>PP02.12 Vivienda</t>
  </si>
  <si>
    <t>PP02.13 Fondos municipales para el combate a la pobreza</t>
  </si>
  <si>
    <t>PP02.09 Agua potable</t>
  </si>
  <si>
    <t>PP02.10 Drenaje y saneamiento</t>
  </si>
  <si>
    <t>PP02.11 Electrificación</t>
  </si>
  <si>
    <t>PP02.14 Fortalecimiento de la gestión institucional para el combate a la pobreza</t>
  </si>
  <si>
    <t>PP02.15 Salud</t>
  </si>
  <si>
    <t>PP02.16 Alimentación</t>
  </si>
  <si>
    <t>PP02.17 Educación</t>
  </si>
  <si>
    <t>PP02.18 Deporte</t>
  </si>
  <si>
    <t>PP02.19 Cultura</t>
  </si>
  <si>
    <t>PP02.20 Grupos vulnerables</t>
  </si>
  <si>
    <t>PP02.21 Comunicades indigenas y pueblos originarios</t>
  </si>
  <si>
    <t>PP02.22 Jóvenes</t>
  </si>
  <si>
    <t>PP02.23 Mujeres</t>
  </si>
  <si>
    <t>PP02.24 Migrantes</t>
  </si>
  <si>
    <t>PP03.25 Biodiversidad y vida silvestre</t>
  </si>
  <si>
    <t>PP03.26 Gestión integral del agua</t>
  </si>
  <si>
    <t>PP03.27 Gestión integral de residuos</t>
  </si>
  <si>
    <t>PP03.28 Cambio climático y energías renovables</t>
  </si>
  <si>
    <t>PP04.29 Seguridad pública</t>
  </si>
  <si>
    <t>PP04.30 Procuración de justicia</t>
  </si>
  <si>
    <t>PP04.31 Defensoria social</t>
  </si>
  <si>
    <t>PP04.32 Prevención y reinserción social</t>
  </si>
  <si>
    <t>PP04.33 Prevensión de la delincuencia y atención a victimas del delito</t>
  </si>
  <si>
    <t>PP04.34 Protección civil</t>
  </si>
  <si>
    <t>PP05.35 Política interior</t>
  </si>
  <si>
    <t>PP05.36 Vinculación con organismos antónomos</t>
  </si>
  <si>
    <t>PP05.37 Prevención y combate a la corrupción</t>
  </si>
  <si>
    <t>PP05.38 Finanzas públicas</t>
  </si>
  <si>
    <t>PP05.39 Transparencia y rendición de cuentas</t>
  </si>
  <si>
    <t>PP05.40 Administración pública</t>
  </si>
  <si>
    <t>PP05.41 Derechos humanos</t>
  </si>
  <si>
    <t>PP42 Fondo de Aportaciones</t>
  </si>
  <si>
    <t>INSPECTOR DE TRANSPORTE</t>
  </si>
  <si>
    <t>SUPERVISOR AUXILIAR</t>
  </si>
  <si>
    <t>JEFE DE CUADRILLA</t>
  </si>
  <si>
    <t>PUERICULTURISTA</t>
  </si>
  <si>
    <t>ESCENOGRAFO</t>
  </si>
  <si>
    <t>TECNICO ARCHIVISTA CERESO</t>
  </si>
  <si>
    <t>LICENCIADO EN EDUCACION PREESCOLAR</t>
  </si>
  <si>
    <t>TECNICO LABORATORISTA CERESO</t>
  </si>
  <si>
    <t>ENFERMERO AUXILIAR CERESO</t>
  </si>
  <si>
    <t>TECNICO RADIOLOGO CERESO</t>
  </si>
  <si>
    <t>QUIMICO FARMACOBIOLOGO DE CERESO</t>
  </si>
  <si>
    <t>MEDICO GENERAL CERESO</t>
  </si>
  <si>
    <t xml:space="preserve">PRIMER OFICIAL  </t>
  </si>
  <si>
    <t>Presupuesto de Egresos para el Ejercicio Fiscal 2020</t>
  </si>
  <si>
    <t>CABO DE ORDENANZAS (ACADEMIA)</t>
  </si>
  <si>
    <t>PEON SEDUVOP</t>
  </si>
  <si>
    <t>DESBROZADOR SEDUVOP</t>
  </si>
  <si>
    <t>ENCARGADO DE FOTOCOPIADO</t>
  </si>
  <si>
    <t>DICTAMINADOR DE UNIDAD DE INVERSION</t>
  </si>
  <si>
    <t>JEFE DE CUADRILLA SEDUVOP</t>
  </si>
  <si>
    <t>CHOFER DE SEGUNDA SEDUVOP</t>
  </si>
  <si>
    <t>POLICIA C (PROCURADURIA)</t>
  </si>
  <si>
    <t>APOYO INFORMATICA SEGURIDAD</t>
  </si>
  <si>
    <t>AUXILIAR DE MP</t>
  </si>
  <si>
    <t>POLICIA B (CERTIFICADO)</t>
  </si>
  <si>
    <t>ANALISTA ESPECIALIZADO</t>
  </si>
  <si>
    <t>POLICIA A (CERTIFICADO)</t>
  </si>
  <si>
    <t>JEFE DE GRUPO (SEGURIDAD Y CUSTODIA) (CERTF)</t>
  </si>
  <si>
    <t>CMDTE. DE SEG.SUB. TENIENTE</t>
  </si>
  <si>
    <t>CMDTE. (ADMVO.SUB-TENIENTE)(CERTIF)</t>
  </si>
  <si>
    <t>MUSICA(O) O CONCERTINA(O)</t>
  </si>
  <si>
    <t>CMDTE. DE SEG. TENIENTE (CERTIF)</t>
  </si>
  <si>
    <t>PERITO B (QUIMICO)</t>
  </si>
  <si>
    <t>AGENTE DEL MP "B"</t>
  </si>
  <si>
    <t>AGENTE DEL MP (CERTIFICADO)</t>
  </si>
  <si>
    <t>AGENTE DEL MP</t>
  </si>
  <si>
    <t>PERITO A</t>
  </si>
  <si>
    <t>DEFENSOR SOCIAL</t>
  </si>
  <si>
    <t>AGENTE DEL MP (HOMOLOGADO)</t>
  </si>
  <si>
    <t>PERITO (HOMOLOGADO)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</si>
</sst>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)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.95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6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3" fontId="3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35" borderId="0" xfId="47" applyFont="1" applyFill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8" fontId="12" fillId="35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43" fontId="0" fillId="0" borderId="20" xfId="47" applyFont="1" applyBorder="1" applyAlignment="1">
      <alignment horizontal="center"/>
    </xf>
    <xf numFmtId="43" fontId="0" fillId="0" borderId="21" xfId="47" applyFont="1" applyBorder="1" applyAlignment="1">
      <alignment horizontal="center"/>
    </xf>
    <xf numFmtId="43" fontId="0" fillId="0" borderId="0" xfId="47" applyFont="1" applyAlignment="1">
      <alignment/>
    </xf>
    <xf numFmtId="43" fontId="0" fillId="0" borderId="15" xfId="47" applyFont="1" applyBorder="1" applyAlignment="1">
      <alignment vertical="center"/>
    </xf>
    <xf numFmtId="43" fontId="0" fillId="0" borderId="22" xfId="47" applyFont="1" applyBorder="1" applyAlignment="1">
      <alignment vertical="center"/>
    </xf>
    <xf numFmtId="43" fontId="0" fillId="0" borderId="10" xfId="47" applyFont="1" applyBorder="1" applyAlignment="1">
      <alignment vertical="center"/>
    </xf>
    <xf numFmtId="43" fontId="0" fillId="0" borderId="23" xfId="47" applyFont="1" applyBorder="1" applyAlignment="1">
      <alignment horizontal="center"/>
    </xf>
    <xf numFmtId="43" fontId="0" fillId="0" borderId="19" xfId="47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wrapText="1"/>
    </xf>
    <xf numFmtId="43" fontId="0" fillId="0" borderId="22" xfId="47" applyFont="1" applyBorder="1" applyAlignment="1">
      <alignment horizontal="center" vertical="center"/>
    </xf>
    <xf numFmtId="43" fontId="0" fillId="0" borderId="22" xfId="47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1</xdr:col>
      <xdr:colOff>1028700</xdr:colOff>
      <xdr:row>4</xdr:row>
      <xdr:rowOff>28575</xdr:rowOff>
    </xdr:to>
    <xdr:pic>
      <xdr:nvPicPr>
        <xdr:cNvPr id="1" name="Imagen 1" descr="Displaying logo FINANZAS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76225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0</xdr:rowOff>
    </xdr:from>
    <xdr:to>
      <xdr:col>1</xdr:col>
      <xdr:colOff>2333625</xdr:colOff>
      <xdr:row>2</xdr:row>
      <xdr:rowOff>171450</xdr:rowOff>
    </xdr:to>
    <xdr:pic>
      <xdr:nvPicPr>
        <xdr:cNvPr id="1" name="Imagen 1" descr="http://www.slp.gob.mx/imagenes/WEB%20GOB-03.jpg"/>
        <xdr:cNvPicPr preferRelativeResize="1">
          <a:picLocks noChangeAspect="1"/>
        </xdr:cNvPicPr>
      </xdr:nvPicPr>
      <xdr:blipFill>
        <a:blip r:embed="rId1"/>
        <a:srcRect r="62303"/>
        <a:stretch>
          <a:fillRect/>
        </a:stretch>
      </xdr:blipFill>
      <xdr:spPr>
        <a:xfrm>
          <a:off x="2105025" y="0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0</xdr:rowOff>
    </xdr:from>
    <xdr:to>
      <xdr:col>1</xdr:col>
      <xdr:colOff>2847975</xdr:colOff>
      <xdr:row>2</xdr:row>
      <xdr:rowOff>171450</xdr:rowOff>
    </xdr:to>
    <xdr:pic>
      <xdr:nvPicPr>
        <xdr:cNvPr id="1" name="Imagen 1" descr="http://www.slp.gob.mx/imagenes/WEB%20GOB-03.jpg"/>
        <xdr:cNvPicPr preferRelativeResize="1">
          <a:picLocks noChangeAspect="1"/>
        </xdr:cNvPicPr>
      </xdr:nvPicPr>
      <xdr:blipFill>
        <a:blip r:embed="rId1"/>
        <a:srcRect r="62303"/>
        <a:stretch>
          <a:fillRect/>
        </a:stretch>
      </xdr:blipFill>
      <xdr:spPr>
        <a:xfrm>
          <a:off x="2619375" y="0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0</xdr:row>
      <xdr:rowOff>0</xdr:rowOff>
    </xdr:from>
    <xdr:to>
      <xdr:col>1</xdr:col>
      <xdr:colOff>2876550</xdr:colOff>
      <xdr:row>2</xdr:row>
      <xdr:rowOff>152400</xdr:rowOff>
    </xdr:to>
    <xdr:pic>
      <xdr:nvPicPr>
        <xdr:cNvPr id="1" name="Imagen 1" descr="http://www.slp.gob.mx/imagenes/WEB%20GOB-03.jpg"/>
        <xdr:cNvPicPr preferRelativeResize="1">
          <a:picLocks noChangeAspect="1"/>
        </xdr:cNvPicPr>
      </xdr:nvPicPr>
      <xdr:blipFill>
        <a:blip r:embed="rId1"/>
        <a:srcRect r="62303"/>
        <a:stretch>
          <a:fillRect/>
        </a:stretch>
      </xdr:blipFill>
      <xdr:spPr>
        <a:xfrm>
          <a:off x="2676525" y="0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F51"/>
  <sheetViews>
    <sheetView tabSelected="1" zoomScalePageLayoutView="0" workbookViewId="0" topLeftCell="A1">
      <selection activeCell="C51" sqref="C51"/>
    </sheetView>
  </sheetViews>
  <sheetFormatPr defaultColWidth="11.421875" defaultRowHeight="15"/>
  <cols>
    <col min="2" max="2" width="70.140625" style="0" customWidth="1"/>
    <col min="3" max="3" width="20.00390625" style="5" bestFit="1" customWidth="1"/>
    <col min="4" max="4" width="16.8515625" style="0" bestFit="1" customWidth="1"/>
    <col min="5" max="5" width="12.28125" style="0" bestFit="1" customWidth="1"/>
  </cols>
  <sheetData>
    <row r="1" spans="2:3" ht="15.75" thickBot="1">
      <c r="B1" s="53" t="s">
        <v>47</v>
      </c>
      <c r="C1" s="53"/>
    </row>
    <row r="2" spans="2:3" ht="15.75" thickBot="1">
      <c r="B2" s="35"/>
      <c r="C2" s="36"/>
    </row>
    <row r="3" spans="2:3" ht="15.75" thickBot="1">
      <c r="B3" s="54" t="s">
        <v>66</v>
      </c>
      <c r="C3" s="55"/>
    </row>
    <row r="4" spans="2:3" ht="15.75" thickBot="1">
      <c r="B4" s="54" t="s">
        <v>308</v>
      </c>
      <c r="C4" s="55"/>
    </row>
    <row r="5" spans="2:3" ht="15.75" thickBot="1">
      <c r="B5" s="1" t="s">
        <v>0</v>
      </c>
      <c r="C5" s="14" t="s">
        <v>1</v>
      </c>
    </row>
    <row r="6" spans="2:3" ht="16.5" thickBot="1">
      <c r="B6" s="20" t="s">
        <v>2</v>
      </c>
      <c r="C6" s="21">
        <f>+C7+C15+C23+C33+C37+C41+C43+C46</f>
        <v>50228093173</v>
      </c>
    </row>
    <row r="7" spans="2:3" ht="15.75" thickBot="1">
      <c r="B7" s="17" t="s">
        <v>3</v>
      </c>
      <c r="C7" s="19">
        <f>SUM(C8:C14)</f>
        <v>8374522706</v>
      </c>
    </row>
    <row r="8" spans="2:3" ht="15.75" thickBot="1">
      <c r="B8" s="3" t="s">
        <v>4</v>
      </c>
      <c r="C8" s="11">
        <v>3723197550</v>
      </c>
    </row>
    <row r="9" spans="2:3" ht="15.75" thickBot="1">
      <c r="B9" s="3" t="s">
        <v>5</v>
      </c>
      <c r="C9" s="11">
        <v>107443412</v>
      </c>
    </row>
    <row r="10" spans="2:3" ht="15.75" thickBot="1">
      <c r="B10" s="3" t="s">
        <v>6</v>
      </c>
      <c r="C10" s="11">
        <v>929670009</v>
      </c>
    </row>
    <row r="11" spans="2:3" ht="15.75" thickBot="1">
      <c r="B11" s="3" t="s">
        <v>7</v>
      </c>
      <c r="C11" s="11">
        <v>414232928</v>
      </c>
    </row>
    <row r="12" spans="2:3" ht="15.75" thickBot="1">
      <c r="B12" s="3" t="s">
        <v>8</v>
      </c>
      <c r="C12" s="11">
        <v>3012292874</v>
      </c>
    </row>
    <row r="13" spans="2:3" ht="15.75" thickBot="1">
      <c r="B13" s="3" t="s">
        <v>253</v>
      </c>
      <c r="C13" s="11">
        <v>70347296</v>
      </c>
    </row>
    <row r="14" spans="2:3" ht="15.75" thickBot="1">
      <c r="B14" s="3" t="s">
        <v>9</v>
      </c>
      <c r="C14" s="11">
        <v>117338637</v>
      </c>
    </row>
    <row r="15" spans="2:3" ht="15.75" thickBot="1">
      <c r="B15" s="17" t="s">
        <v>10</v>
      </c>
      <c r="C15" s="19">
        <f>C16+C17+C18+C19+C20+C21+C22</f>
        <v>226758770</v>
      </c>
    </row>
    <row r="16" spans="2:3" ht="15.75" thickBot="1">
      <c r="B16" s="3" t="s">
        <v>11</v>
      </c>
      <c r="C16" s="11">
        <v>46032763</v>
      </c>
    </row>
    <row r="17" spans="2:3" ht="15.75" thickBot="1">
      <c r="B17" s="3" t="s">
        <v>12</v>
      </c>
      <c r="C17" s="11">
        <v>82670414</v>
      </c>
    </row>
    <row r="18" spans="2:3" ht="15.75" thickBot="1">
      <c r="B18" s="3" t="s">
        <v>13</v>
      </c>
      <c r="C18" s="11">
        <v>7480060</v>
      </c>
    </row>
    <row r="19" spans="2:3" ht="15.75" thickBot="1">
      <c r="B19" s="3" t="s">
        <v>14</v>
      </c>
      <c r="C19" s="11">
        <v>7692884</v>
      </c>
    </row>
    <row r="20" spans="2:3" ht="15.75" thickBot="1">
      <c r="B20" s="3" t="s">
        <v>15</v>
      </c>
      <c r="C20" s="11">
        <v>79806455</v>
      </c>
    </row>
    <row r="21" spans="2:3" ht="15.75" thickBot="1">
      <c r="B21" s="4" t="s">
        <v>16</v>
      </c>
      <c r="C21" s="11">
        <v>535030</v>
      </c>
    </row>
    <row r="22" spans="2:3" ht="15.75" thickBot="1">
      <c r="B22" s="3" t="s">
        <v>17</v>
      </c>
      <c r="C22" s="11">
        <v>2541164</v>
      </c>
    </row>
    <row r="23" spans="2:3" ht="15.75" thickBot="1">
      <c r="B23" s="17" t="s">
        <v>18</v>
      </c>
      <c r="C23" s="19">
        <f>C24+C25+C26+C27+C28+C29+C30+C31+C32-1</f>
        <v>542143689</v>
      </c>
    </row>
    <row r="24" spans="2:3" ht="15.75" thickBot="1">
      <c r="B24" s="3" t="s">
        <v>19</v>
      </c>
      <c r="C24" s="11">
        <v>96634621</v>
      </c>
    </row>
    <row r="25" spans="2:3" ht="15.75" thickBot="1">
      <c r="B25" s="3" t="s">
        <v>20</v>
      </c>
      <c r="C25" s="11">
        <v>80127302</v>
      </c>
    </row>
    <row r="26" spans="2:3" ht="15.75" thickBot="1">
      <c r="B26" s="3" t="s">
        <v>21</v>
      </c>
      <c r="C26" s="11">
        <v>22806581</v>
      </c>
    </row>
    <row r="27" spans="2:3" ht="15.75" thickBot="1">
      <c r="B27" s="3" t="s">
        <v>22</v>
      </c>
      <c r="C27" s="11">
        <v>46573374</v>
      </c>
    </row>
    <row r="28" spans="2:3" ht="15.75" thickBot="1">
      <c r="B28" s="3" t="s">
        <v>23</v>
      </c>
      <c r="C28" s="11">
        <v>55522309</v>
      </c>
    </row>
    <row r="29" spans="2:3" ht="15.75" thickBot="1">
      <c r="B29" s="3" t="s">
        <v>24</v>
      </c>
      <c r="C29" s="11">
        <v>51193814</v>
      </c>
    </row>
    <row r="30" spans="2:3" ht="15.75" thickBot="1">
      <c r="B30" s="3" t="s">
        <v>25</v>
      </c>
      <c r="C30" s="11">
        <v>23141080</v>
      </c>
    </row>
    <row r="31" spans="2:3" ht="15.75" thickBot="1">
      <c r="B31" s="3" t="s">
        <v>26</v>
      </c>
      <c r="C31" s="11">
        <v>14703601</v>
      </c>
    </row>
    <row r="32" spans="2:3" ht="15.75" thickBot="1">
      <c r="B32" s="3" t="s">
        <v>27</v>
      </c>
      <c r="C32" s="11">
        <v>151441008</v>
      </c>
    </row>
    <row r="33" spans="2:3" ht="15.75" thickBot="1">
      <c r="B33" s="17" t="s">
        <v>28</v>
      </c>
      <c r="C33" s="19">
        <f>SUM(C34:C36)</f>
        <v>29409463740</v>
      </c>
    </row>
    <row r="34" spans="2:3" ht="15.75" thickBot="1">
      <c r="B34" s="3" t="s">
        <v>29</v>
      </c>
      <c r="C34" s="11">
        <v>29029078311</v>
      </c>
    </row>
    <row r="35" spans="2:6" ht="15.75" thickBot="1">
      <c r="B35" s="3" t="s">
        <v>30</v>
      </c>
      <c r="C35" s="11">
        <v>25805338</v>
      </c>
      <c r="E35" s="25"/>
      <c r="F35" s="24"/>
    </row>
    <row r="36" spans="2:6" ht="15.75" thickBot="1">
      <c r="B36" s="3" t="s">
        <v>31</v>
      </c>
      <c r="C36" s="11">
        <v>354580091</v>
      </c>
      <c r="D36" s="28"/>
      <c r="E36" s="31"/>
      <c r="F36" s="24"/>
    </row>
    <row r="37" spans="2:5" ht="15.75" thickBot="1">
      <c r="B37" s="17" t="s">
        <v>32</v>
      </c>
      <c r="C37" s="19">
        <f>C38+C39+C40</f>
        <v>2083425625</v>
      </c>
      <c r="D37" s="27"/>
      <c r="E37" s="29"/>
    </row>
    <row r="38" spans="2:5" ht="15.75" thickBot="1">
      <c r="B38" s="3" t="s">
        <v>33</v>
      </c>
      <c r="C38" s="11">
        <v>60582420</v>
      </c>
      <c r="D38" s="27"/>
      <c r="E38" s="29"/>
    </row>
    <row r="39" spans="2:5" ht="15.75" thickBot="1">
      <c r="B39" s="3" t="s">
        <v>34</v>
      </c>
      <c r="C39" s="11">
        <v>152357514</v>
      </c>
      <c r="D39" s="27"/>
      <c r="E39" s="29"/>
    </row>
    <row r="40" spans="2:5" ht="15.75" thickBot="1">
      <c r="B40" s="3" t="s">
        <v>35</v>
      </c>
      <c r="C40" s="11">
        <v>1870485691</v>
      </c>
      <c r="D40" s="28"/>
      <c r="E40" s="30"/>
    </row>
    <row r="41" spans="2:3" ht="15.75" thickBot="1">
      <c r="B41" s="17" t="s">
        <v>36</v>
      </c>
      <c r="C41" s="19">
        <f>+C42</f>
        <v>1000000</v>
      </c>
    </row>
    <row r="42" spans="2:3" ht="15.75" thickBot="1">
      <c r="B42" s="3" t="s">
        <v>37</v>
      </c>
      <c r="C42" s="11">
        <v>1000000</v>
      </c>
    </row>
    <row r="43" spans="2:3" ht="15.75" thickBot="1">
      <c r="B43" s="18" t="s">
        <v>38</v>
      </c>
      <c r="C43" s="19">
        <f>+C44+C45</f>
        <v>8727937625</v>
      </c>
    </row>
    <row r="44" spans="2:3" ht="15.75" thickBot="1">
      <c r="B44" s="3" t="s">
        <v>39</v>
      </c>
      <c r="C44" s="11">
        <v>4610053194</v>
      </c>
    </row>
    <row r="45" spans="2:3" ht="15.75" thickBot="1">
      <c r="B45" s="3" t="s">
        <v>40</v>
      </c>
      <c r="C45" s="11">
        <v>4117884431</v>
      </c>
    </row>
    <row r="46" spans="2:3" ht="15.75" thickBot="1">
      <c r="B46" s="17" t="s">
        <v>41</v>
      </c>
      <c r="C46" s="19">
        <f>SUM(C47:C51)</f>
        <v>862841018</v>
      </c>
    </row>
    <row r="47" spans="2:3" ht="15.75" thickBot="1">
      <c r="B47" s="3" t="s">
        <v>42</v>
      </c>
      <c r="C47" s="11">
        <v>169709532</v>
      </c>
    </row>
    <row r="48" spans="2:3" ht="15.75" thickBot="1">
      <c r="B48" s="3" t="s">
        <v>43</v>
      </c>
      <c r="C48" s="11">
        <v>322534859</v>
      </c>
    </row>
    <row r="49" spans="2:3" ht="15.75" thickBot="1">
      <c r="B49" s="3" t="s">
        <v>44</v>
      </c>
      <c r="C49" s="11">
        <v>165996627</v>
      </c>
    </row>
    <row r="50" spans="2:3" ht="15.75" thickBot="1">
      <c r="B50" s="3" t="s">
        <v>45</v>
      </c>
      <c r="C50" s="11">
        <v>4600000</v>
      </c>
    </row>
    <row r="51" spans="2:3" ht="15.75" thickBot="1">
      <c r="B51" s="3" t="s">
        <v>46</v>
      </c>
      <c r="C51" s="11">
        <v>200000000</v>
      </c>
    </row>
  </sheetData>
  <sheetProtection/>
  <mergeCells count="3">
    <mergeCell ref="B1:C1"/>
    <mergeCell ref="B3:C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E16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2" width="37.8515625" style="0" customWidth="1"/>
    <col min="3" max="3" width="21.140625" style="0" customWidth="1"/>
    <col min="4" max="4" width="17.57421875" style="0" customWidth="1"/>
  </cols>
  <sheetData>
    <row r="3" ht="15.75" thickBot="1"/>
    <row r="4" spans="2:3" ht="15.75" thickBot="1">
      <c r="B4" s="54" t="s">
        <v>66</v>
      </c>
      <c r="C4" s="55"/>
    </row>
    <row r="5" spans="2:3" ht="15.75" thickBot="1">
      <c r="B5" s="54" t="s">
        <v>308</v>
      </c>
      <c r="C5" s="55"/>
    </row>
    <row r="6" spans="2:3" ht="15.75" thickBot="1">
      <c r="B6" s="1" t="s">
        <v>48</v>
      </c>
      <c r="C6" s="2" t="s">
        <v>1</v>
      </c>
    </row>
    <row r="7" spans="2:5" ht="15.75" thickBot="1">
      <c r="B7" s="9" t="s">
        <v>2</v>
      </c>
      <c r="C7" s="12">
        <f>C8+C9+C10+C11+C12</f>
        <v>50228093173</v>
      </c>
      <c r="D7" s="26"/>
      <c r="E7" s="5"/>
    </row>
    <row r="8" spans="2:3" ht="15.75" thickBot="1">
      <c r="B8" s="3" t="s">
        <v>49</v>
      </c>
      <c r="C8" s="15">
        <v>23078417294</v>
      </c>
    </row>
    <row r="9" spans="2:5" ht="15.75" thickBot="1">
      <c r="B9" s="3" t="s">
        <v>50</v>
      </c>
      <c r="C9" s="15">
        <v>323148355</v>
      </c>
      <c r="E9" s="5"/>
    </row>
    <row r="10" spans="2:3" ht="15.75" thickBot="1">
      <c r="B10" s="3" t="s">
        <v>51</v>
      </c>
      <c r="C10" s="15">
        <v>1316503084</v>
      </c>
    </row>
    <row r="11" spans="2:3" ht="15.75" thickBot="1">
      <c r="B11" s="3" t="s">
        <v>52</v>
      </c>
      <c r="C11" s="15">
        <v>4166831317</v>
      </c>
    </row>
    <row r="12" spans="2:3" ht="15.75" thickBot="1">
      <c r="B12" s="3" t="s">
        <v>213</v>
      </c>
      <c r="C12" s="15">
        <f>2678725779+54456425+8727937625+10547152+2367205305+7504320838-1</f>
        <v>21343193123</v>
      </c>
    </row>
    <row r="13" spans="2:3" ht="15.75" hidden="1" thickBot="1">
      <c r="B13" s="3" t="s">
        <v>67</v>
      </c>
      <c r="C13" s="15">
        <v>231429539</v>
      </c>
    </row>
    <row r="14" spans="2:3" ht="23.25" hidden="1" thickBot="1">
      <c r="B14" s="3" t="s">
        <v>63</v>
      </c>
      <c r="C14" s="15">
        <v>2037405718</v>
      </c>
    </row>
    <row r="15" spans="2:3" ht="23.25" hidden="1" thickBot="1">
      <c r="B15" s="3" t="s">
        <v>64</v>
      </c>
      <c r="C15" s="15">
        <v>44155594</v>
      </c>
    </row>
    <row r="16" spans="2:3" ht="15.75" hidden="1" thickBot="1">
      <c r="B16" s="3" t="s">
        <v>65</v>
      </c>
      <c r="C16" s="15">
        <v>7391387033</v>
      </c>
    </row>
  </sheetData>
  <sheetProtection/>
  <mergeCells count="2">
    <mergeCell ref="B5:C5"/>
    <mergeCell ref="B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B16" sqref="B16"/>
    </sheetView>
  </sheetViews>
  <sheetFormatPr defaultColWidth="11.421875" defaultRowHeight="15"/>
  <cols>
    <col min="2" max="2" width="55.7109375" style="0" bestFit="1" customWidth="1"/>
    <col min="3" max="3" width="16.421875" style="0" bestFit="1" customWidth="1"/>
  </cols>
  <sheetData>
    <row r="3" ht="15.75" thickBot="1"/>
    <row r="4" spans="2:3" ht="15.75" thickBot="1">
      <c r="B4" s="54" t="s">
        <v>66</v>
      </c>
      <c r="C4" s="55"/>
    </row>
    <row r="5" spans="2:3" ht="15.75" thickBot="1">
      <c r="B5" s="54" t="s">
        <v>308</v>
      </c>
      <c r="C5" s="55"/>
    </row>
    <row r="6" spans="2:3" ht="15.75" thickBot="1">
      <c r="B6" s="8" t="s">
        <v>53</v>
      </c>
      <c r="C6" s="16" t="s">
        <v>1</v>
      </c>
    </row>
    <row r="7" spans="2:3" ht="15.75" thickBot="1">
      <c r="B7" s="9" t="s">
        <v>2</v>
      </c>
      <c r="C7" s="12">
        <f>SUM(C8:C11)</f>
        <v>50228093173</v>
      </c>
    </row>
    <row r="8" spans="2:3" ht="15.75" thickBot="1">
      <c r="B8" s="3" t="s">
        <v>54</v>
      </c>
      <c r="C8" s="11">
        <v>11441935412</v>
      </c>
    </row>
    <row r="9" spans="2:3" ht="15.75" thickBot="1">
      <c r="B9" s="3" t="s">
        <v>55</v>
      </c>
      <c r="C9" s="11">
        <v>28117907131</v>
      </c>
    </row>
    <row r="10" spans="2:3" ht="15.75" thickBot="1">
      <c r="B10" s="3" t="s">
        <v>56</v>
      </c>
      <c r="C10" s="11">
        <v>1722447852</v>
      </c>
    </row>
    <row r="11" spans="2:3" ht="15.75" thickBot="1">
      <c r="B11" s="3" t="s">
        <v>57</v>
      </c>
      <c r="C11" s="11">
        <v>8945802778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55.7109375" style="0" bestFit="1" customWidth="1"/>
    <col min="3" max="3" width="18.28125" style="0" bestFit="1" customWidth="1"/>
    <col min="5" max="5" width="14.57421875" style="0" customWidth="1"/>
  </cols>
  <sheetData>
    <row r="3" ht="15.75" thickBot="1"/>
    <row r="4" spans="2:3" ht="15.75" thickBot="1">
      <c r="B4" s="54" t="s">
        <v>66</v>
      </c>
      <c r="C4" s="55"/>
    </row>
    <row r="5" spans="2:3" ht="15.75" thickBot="1">
      <c r="B5" s="54" t="s">
        <v>308</v>
      </c>
      <c r="C5" s="55"/>
    </row>
    <row r="6" spans="2:3" ht="15.75" thickBot="1">
      <c r="B6" s="8" t="s">
        <v>58</v>
      </c>
      <c r="C6" s="16" t="s">
        <v>1</v>
      </c>
    </row>
    <row r="7" spans="2:3" ht="15.75" thickBot="1">
      <c r="B7" s="10" t="s">
        <v>2</v>
      </c>
      <c r="C7" s="13">
        <f>C8+C9+C10+C11</f>
        <v>50228093173</v>
      </c>
    </row>
    <row r="8" spans="2:3" ht="15.75" thickBot="1">
      <c r="B8" s="3" t="s">
        <v>59</v>
      </c>
      <c r="C8" s="11">
        <v>9143425165</v>
      </c>
    </row>
    <row r="9" spans="2:3" ht="15.75" thickBot="1">
      <c r="B9" s="3" t="s">
        <v>60</v>
      </c>
      <c r="C9" s="11">
        <v>31493889365</v>
      </c>
    </row>
    <row r="10" spans="2:3" ht="15.75" thickBot="1">
      <c r="B10" s="3" t="s">
        <v>61</v>
      </c>
      <c r="C10" s="11">
        <v>862841018</v>
      </c>
    </row>
    <row r="11" spans="2:3" ht="15.75" thickBot="1">
      <c r="B11" s="3" t="s">
        <v>38</v>
      </c>
      <c r="C11" s="11">
        <v>8727937625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B10"/>
  <sheetViews>
    <sheetView zoomScalePageLayoutView="0" workbookViewId="0" topLeftCell="A1">
      <selection activeCell="B5" sqref="B5"/>
    </sheetView>
  </sheetViews>
  <sheetFormatPr defaultColWidth="11.421875" defaultRowHeight="15"/>
  <cols>
    <col min="2" max="2" width="59.8515625" style="0" customWidth="1"/>
  </cols>
  <sheetData>
    <row r="2" ht="15.75" thickBot="1"/>
    <row r="3" ht="15.75" thickBot="1">
      <c r="B3" s="6" t="s">
        <v>66</v>
      </c>
    </row>
    <row r="4" ht="15.75" thickBot="1">
      <c r="B4" s="7" t="s">
        <v>308</v>
      </c>
    </row>
    <row r="5" ht="18.75" customHeight="1" thickBot="1">
      <c r="B5" s="7" t="s">
        <v>62</v>
      </c>
    </row>
    <row r="6" ht="18.75" customHeight="1" thickBot="1">
      <c r="B6" s="22" t="s">
        <v>68</v>
      </c>
    </row>
    <row r="7" ht="18.75" customHeight="1" thickBot="1">
      <c r="B7" s="23" t="s">
        <v>69</v>
      </c>
    </row>
    <row r="8" ht="18.75" customHeight="1" thickBot="1">
      <c r="B8" s="23" t="s">
        <v>70</v>
      </c>
    </row>
    <row r="9" ht="18.75" customHeight="1" thickBot="1">
      <c r="B9" s="23" t="s">
        <v>71</v>
      </c>
    </row>
    <row r="10" ht="18.75" customHeight="1" thickBot="1">
      <c r="B10" s="23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47"/>
  <sheetViews>
    <sheetView zoomScalePageLayoutView="0" workbookViewId="0" topLeftCell="A1">
      <selection activeCell="A1" sqref="A1"/>
    </sheetView>
  </sheetViews>
  <sheetFormatPr defaultColWidth="78.7109375" defaultRowHeight="15"/>
  <cols>
    <col min="1" max="1" width="86.140625" style="0" customWidth="1"/>
  </cols>
  <sheetData>
    <row r="2" ht="15.75" thickBot="1"/>
    <row r="3" ht="15.75" thickBot="1">
      <c r="A3" s="6" t="s">
        <v>66</v>
      </c>
    </row>
    <row r="4" ht="15.75" thickBot="1">
      <c r="A4" s="7" t="s">
        <v>308</v>
      </c>
    </row>
    <row r="5" ht="18.75" customHeight="1" thickBot="1">
      <c r="A5" s="7" t="s">
        <v>74</v>
      </c>
    </row>
    <row r="6" ht="18.75" customHeight="1" thickBot="1">
      <c r="A6" s="44" t="s">
        <v>254</v>
      </c>
    </row>
    <row r="7" ht="18.75" customHeight="1" thickBot="1">
      <c r="A7" s="44" t="s">
        <v>255</v>
      </c>
    </row>
    <row r="8" ht="18.75" customHeight="1" thickBot="1">
      <c r="A8" s="44" t="s">
        <v>256</v>
      </c>
    </row>
    <row r="9" ht="18.75" customHeight="1" thickBot="1">
      <c r="A9" s="44" t="s">
        <v>75</v>
      </c>
    </row>
    <row r="10" ht="18.75" customHeight="1" thickBot="1">
      <c r="A10" s="44" t="s">
        <v>257</v>
      </c>
    </row>
    <row r="11" ht="18.75" customHeight="1" thickBot="1">
      <c r="A11" s="44" t="s">
        <v>258</v>
      </c>
    </row>
    <row r="12" ht="18.75" customHeight="1" thickBot="1">
      <c r="A12" s="44" t="s">
        <v>259</v>
      </c>
    </row>
    <row r="13" ht="18.75" customHeight="1" thickBot="1">
      <c r="A13" s="44" t="s">
        <v>260</v>
      </c>
    </row>
    <row r="14" ht="18.75" customHeight="1" thickBot="1">
      <c r="A14" s="44" t="s">
        <v>263</v>
      </c>
    </row>
    <row r="15" ht="18.75" customHeight="1" thickBot="1">
      <c r="A15" s="44" t="s">
        <v>264</v>
      </c>
    </row>
    <row r="16" ht="18.75" customHeight="1" thickBot="1">
      <c r="A16" s="44" t="s">
        <v>265</v>
      </c>
    </row>
    <row r="17" ht="18.75" customHeight="1" thickBot="1">
      <c r="A17" s="44" t="s">
        <v>261</v>
      </c>
    </row>
    <row r="18" ht="18.75" customHeight="1" thickBot="1">
      <c r="A18" s="44" t="s">
        <v>262</v>
      </c>
    </row>
    <row r="19" ht="18.75" customHeight="1" thickBot="1">
      <c r="A19" s="44" t="s">
        <v>266</v>
      </c>
    </row>
    <row r="20" ht="18.75" customHeight="1" thickBot="1">
      <c r="A20" s="44" t="s">
        <v>267</v>
      </c>
    </row>
    <row r="21" ht="18.75" customHeight="1" thickBot="1">
      <c r="A21" s="44" t="s">
        <v>268</v>
      </c>
    </row>
    <row r="22" ht="18.75" customHeight="1" thickBot="1">
      <c r="A22" s="44" t="s">
        <v>269</v>
      </c>
    </row>
    <row r="23" ht="18.75" customHeight="1" thickBot="1">
      <c r="A23" s="44" t="s">
        <v>270</v>
      </c>
    </row>
    <row r="24" ht="18.75" customHeight="1" thickBot="1">
      <c r="A24" s="44" t="s">
        <v>271</v>
      </c>
    </row>
    <row r="25" ht="18.75" customHeight="1" thickBot="1">
      <c r="A25" s="44" t="s">
        <v>272</v>
      </c>
    </row>
    <row r="26" ht="18.75" customHeight="1" thickBot="1">
      <c r="A26" s="44" t="s">
        <v>273</v>
      </c>
    </row>
    <row r="27" ht="18.75" customHeight="1" thickBot="1">
      <c r="A27" s="44" t="s">
        <v>274</v>
      </c>
    </row>
    <row r="28" ht="18.75" customHeight="1" thickBot="1">
      <c r="A28" s="44" t="s">
        <v>275</v>
      </c>
    </row>
    <row r="29" ht="18.75" customHeight="1" thickBot="1">
      <c r="A29" s="44" t="s">
        <v>276</v>
      </c>
    </row>
    <row r="30" ht="18.75" customHeight="1" thickBot="1">
      <c r="A30" s="44" t="s">
        <v>277</v>
      </c>
    </row>
    <row r="31" ht="18.75" customHeight="1" thickBot="1">
      <c r="A31" s="44" t="s">
        <v>278</v>
      </c>
    </row>
    <row r="32" ht="18.75" customHeight="1" thickBot="1">
      <c r="A32" s="44" t="s">
        <v>279</v>
      </c>
    </row>
    <row r="33" ht="18.75" customHeight="1" thickBot="1">
      <c r="A33" s="44" t="s">
        <v>280</v>
      </c>
    </row>
    <row r="34" ht="18.75" customHeight="1" thickBot="1">
      <c r="A34" s="44" t="s">
        <v>281</v>
      </c>
    </row>
    <row r="35" ht="18.75" customHeight="1" thickBot="1">
      <c r="A35" s="22" t="s">
        <v>282</v>
      </c>
    </row>
    <row r="36" ht="18.75" customHeight="1" thickBot="1">
      <c r="A36" s="22" t="s">
        <v>283</v>
      </c>
    </row>
    <row r="37" ht="18.75" customHeight="1" thickBot="1">
      <c r="A37" s="22" t="s">
        <v>284</v>
      </c>
    </row>
    <row r="38" ht="18.75" customHeight="1" thickBot="1">
      <c r="A38" s="22" t="s">
        <v>285</v>
      </c>
    </row>
    <row r="39" ht="18.75" customHeight="1" thickBot="1">
      <c r="A39" s="22" t="s">
        <v>286</v>
      </c>
    </row>
    <row r="40" ht="18.75" customHeight="1" thickBot="1">
      <c r="A40" s="22" t="s">
        <v>287</v>
      </c>
    </row>
    <row r="41" ht="18.75" customHeight="1" thickBot="1">
      <c r="A41" s="22" t="s">
        <v>288</v>
      </c>
    </row>
    <row r="42" ht="18.75" customHeight="1" thickBot="1">
      <c r="A42" s="22" t="s">
        <v>289</v>
      </c>
    </row>
    <row r="43" ht="18.75" customHeight="1" thickBot="1">
      <c r="A43" s="22" t="s">
        <v>290</v>
      </c>
    </row>
    <row r="44" ht="18.75" customHeight="1" thickBot="1">
      <c r="A44" s="22" t="s">
        <v>291</v>
      </c>
    </row>
    <row r="45" ht="18.75" customHeight="1" thickBot="1">
      <c r="A45" s="22" t="s">
        <v>292</v>
      </c>
    </row>
    <row r="46" ht="18.75" customHeight="1" thickBot="1">
      <c r="A46" s="22" t="s">
        <v>293</v>
      </c>
    </row>
    <row r="47" ht="18.75" customHeight="1" thickBot="1">
      <c r="A47" s="43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19"/>
  <sheetViews>
    <sheetView zoomScalePageLayoutView="0" workbookViewId="0" topLeftCell="A1">
      <selection activeCell="B7" sqref="B7:C7"/>
    </sheetView>
  </sheetViews>
  <sheetFormatPr defaultColWidth="11.421875" defaultRowHeight="15"/>
  <cols>
    <col min="2" max="2" width="19.140625" style="0" customWidth="1"/>
    <col min="3" max="3" width="25.140625" style="0" customWidth="1"/>
    <col min="7" max="7" width="15.140625" style="47" bestFit="1" customWidth="1"/>
    <col min="8" max="8" width="15.28125" style="0" customWidth="1"/>
  </cols>
  <sheetData>
    <row r="2" spans="2:9" ht="15.75">
      <c r="B2" s="66" t="s">
        <v>66</v>
      </c>
      <c r="C2" s="66"/>
      <c r="D2" s="66"/>
      <c r="E2" s="66"/>
      <c r="F2" s="66"/>
      <c r="G2" s="66"/>
      <c r="H2" s="66"/>
      <c r="I2" s="32"/>
    </row>
    <row r="3" spans="2:9" ht="15.75">
      <c r="B3" s="66" t="s">
        <v>308</v>
      </c>
      <c r="C3" s="66"/>
      <c r="D3" s="66"/>
      <c r="E3" s="66"/>
      <c r="F3" s="66"/>
      <c r="G3" s="66"/>
      <c r="H3" s="66"/>
      <c r="I3" s="32"/>
    </row>
    <row r="4" spans="2:9" ht="16.5" thickBot="1">
      <c r="B4" s="67" t="s">
        <v>73</v>
      </c>
      <c r="C4" s="67"/>
      <c r="D4" s="67"/>
      <c r="E4" s="67"/>
      <c r="F4" s="67"/>
      <c r="G4" s="67"/>
      <c r="H4" s="67"/>
      <c r="I4" s="32"/>
    </row>
    <row r="5" spans="2:12" ht="15.75" thickBot="1">
      <c r="B5" s="63" t="s">
        <v>76</v>
      </c>
      <c r="C5" s="64"/>
      <c r="D5" s="63" t="s">
        <v>77</v>
      </c>
      <c r="E5" s="65"/>
      <c r="F5" s="71" t="s">
        <v>78</v>
      </c>
      <c r="G5" s="72"/>
      <c r="H5" s="73"/>
      <c r="J5" s="33"/>
      <c r="K5" s="33"/>
      <c r="L5" s="34"/>
    </row>
    <row r="6" spans="2:8" ht="15.75" thickBot="1">
      <c r="B6" s="68"/>
      <c r="C6" s="69"/>
      <c r="D6" s="68"/>
      <c r="E6" s="70"/>
      <c r="F6" s="39" t="s">
        <v>79</v>
      </c>
      <c r="G6" s="45"/>
      <c r="H6" s="41" t="s">
        <v>80</v>
      </c>
    </row>
    <row r="7" spans="2:8" ht="15">
      <c r="B7" s="63" t="s">
        <v>82</v>
      </c>
      <c r="C7" s="64"/>
      <c r="D7" s="63">
        <v>1</v>
      </c>
      <c r="E7" s="65"/>
      <c r="F7" s="38" t="s">
        <v>81</v>
      </c>
      <c r="G7" s="51">
        <f>161436/12</f>
        <v>13453</v>
      </c>
      <c r="H7" s="48">
        <f>+G7</f>
        <v>13453</v>
      </c>
    </row>
    <row r="8" spans="2:8" ht="15">
      <c r="B8" s="56" t="s">
        <v>214</v>
      </c>
      <c r="C8" s="57"/>
      <c r="D8" s="56">
        <v>54</v>
      </c>
      <c r="E8" s="58"/>
      <c r="F8" s="37" t="s">
        <v>81</v>
      </c>
      <c r="G8" s="46">
        <f>8717544/D8/12</f>
        <v>13453</v>
      </c>
      <c r="H8" s="49">
        <f>+G8</f>
        <v>13453</v>
      </c>
    </row>
    <row r="9" spans="2:8" ht="15">
      <c r="B9" s="56" t="s">
        <v>295</v>
      </c>
      <c r="C9" s="57"/>
      <c r="D9" s="56">
        <v>29</v>
      </c>
      <c r="E9" s="58"/>
      <c r="F9" s="37" t="s">
        <v>81</v>
      </c>
      <c r="G9" s="46">
        <f>4116492/D9/12</f>
        <v>11829</v>
      </c>
      <c r="H9" s="49">
        <f aca="true" t="shared" si="0" ref="H9:H77">+G9</f>
        <v>11829</v>
      </c>
    </row>
    <row r="10" spans="2:8" ht="15">
      <c r="B10" s="56" t="s">
        <v>296</v>
      </c>
      <c r="C10" s="57"/>
      <c r="D10" s="56">
        <v>3</v>
      </c>
      <c r="E10" s="58"/>
      <c r="F10" s="37" t="s">
        <v>81</v>
      </c>
      <c r="G10" s="46">
        <f>425844/D10/12</f>
        <v>11829</v>
      </c>
      <c r="H10" s="49">
        <f t="shared" si="0"/>
        <v>11829</v>
      </c>
    </row>
    <row r="11" spans="2:8" ht="15">
      <c r="B11" s="56" t="s">
        <v>83</v>
      </c>
      <c r="C11" s="57"/>
      <c r="D11" s="56">
        <v>35</v>
      </c>
      <c r="E11" s="58"/>
      <c r="F11" s="37" t="s">
        <v>81</v>
      </c>
      <c r="G11" s="46">
        <f>6020280/D11/12</f>
        <v>14334</v>
      </c>
      <c r="H11" s="49">
        <f t="shared" si="0"/>
        <v>14334</v>
      </c>
    </row>
    <row r="12" spans="2:8" ht="15">
      <c r="B12" s="56" t="s">
        <v>84</v>
      </c>
      <c r="C12" s="57"/>
      <c r="D12" s="56">
        <v>2</v>
      </c>
      <c r="E12" s="58"/>
      <c r="F12" s="37" t="s">
        <v>81</v>
      </c>
      <c r="G12" s="46">
        <f>344016/D12/12</f>
        <v>14334</v>
      </c>
      <c r="H12" s="49">
        <f t="shared" si="0"/>
        <v>14334</v>
      </c>
    </row>
    <row r="13" spans="2:8" ht="15">
      <c r="B13" s="56" t="s">
        <v>85</v>
      </c>
      <c r="C13" s="57"/>
      <c r="D13" s="56">
        <v>6</v>
      </c>
      <c r="E13" s="58"/>
      <c r="F13" s="37" t="s">
        <v>81</v>
      </c>
      <c r="G13" s="46">
        <f>1032048/D13/12</f>
        <v>14334</v>
      </c>
      <c r="H13" s="49">
        <f t="shared" si="0"/>
        <v>14334</v>
      </c>
    </row>
    <row r="14" spans="2:8" ht="15">
      <c r="B14" s="56" t="s">
        <v>86</v>
      </c>
      <c r="C14" s="57"/>
      <c r="D14" s="56">
        <v>112</v>
      </c>
      <c r="E14" s="58"/>
      <c r="F14" s="37" t="s">
        <v>81</v>
      </c>
      <c r="G14" s="46">
        <f>19264896/D14/12</f>
        <v>14334</v>
      </c>
      <c r="H14" s="49">
        <f t="shared" si="0"/>
        <v>14334</v>
      </c>
    </row>
    <row r="15" spans="2:8" ht="15">
      <c r="B15" s="56" t="s">
        <v>87</v>
      </c>
      <c r="C15" s="57"/>
      <c r="D15" s="56">
        <v>6</v>
      </c>
      <c r="E15" s="58"/>
      <c r="F15" s="37" t="s">
        <v>81</v>
      </c>
      <c r="G15" s="46">
        <f>1032048/D15/12</f>
        <v>14334</v>
      </c>
      <c r="H15" s="49">
        <f t="shared" si="0"/>
        <v>14334</v>
      </c>
    </row>
    <row r="16" spans="2:8" ht="15">
      <c r="B16" s="56" t="s">
        <v>215</v>
      </c>
      <c r="C16" s="57"/>
      <c r="D16" s="56">
        <v>50</v>
      </c>
      <c r="E16" s="58"/>
      <c r="F16" s="37" t="s">
        <v>81</v>
      </c>
      <c r="G16" s="46">
        <f>8898600/D16/12</f>
        <v>14831</v>
      </c>
      <c r="H16" s="49">
        <f t="shared" si="0"/>
        <v>14831</v>
      </c>
    </row>
    <row r="17" spans="2:8" ht="15">
      <c r="B17" s="56" t="s">
        <v>216</v>
      </c>
      <c r="C17" s="57"/>
      <c r="D17" s="56">
        <v>15</v>
      </c>
      <c r="E17" s="58"/>
      <c r="F17" s="37" t="s">
        <v>81</v>
      </c>
      <c r="G17" s="46">
        <f>2669580/D17/12</f>
        <v>14831</v>
      </c>
      <c r="H17" s="49">
        <f t="shared" si="0"/>
        <v>14831</v>
      </c>
    </row>
    <row r="18" spans="2:8" ht="15">
      <c r="B18" s="56" t="s">
        <v>309</v>
      </c>
      <c r="C18" s="57"/>
      <c r="D18" s="56">
        <v>1</v>
      </c>
      <c r="E18" s="58"/>
      <c r="F18" s="42" t="s">
        <v>81</v>
      </c>
      <c r="G18" s="46">
        <f>177972/D18/12</f>
        <v>14831</v>
      </c>
      <c r="H18" s="49">
        <f t="shared" si="0"/>
        <v>14831</v>
      </c>
    </row>
    <row r="19" spans="2:8" ht="15">
      <c r="B19" s="56" t="s">
        <v>310</v>
      </c>
      <c r="C19" s="57"/>
      <c r="D19" s="56">
        <v>26</v>
      </c>
      <c r="E19" s="58"/>
      <c r="F19" s="42" t="s">
        <v>81</v>
      </c>
      <c r="G19" s="46">
        <f>3775200/D19/12</f>
        <v>12100</v>
      </c>
      <c r="H19" s="49">
        <f t="shared" si="0"/>
        <v>12100</v>
      </c>
    </row>
    <row r="20" spans="2:8" ht="15">
      <c r="B20" s="56" t="s">
        <v>311</v>
      </c>
      <c r="C20" s="57"/>
      <c r="D20" s="56">
        <v>8</v>
      </c>
      <c r="E20" s="58"/>
      <c r="F20" s="37" t="s">
        <v>81</v>
      </c>
      <c r="G20" s="46">
        <f>1161600/D20/12</f>
        <v>12100</v>
      </c>
      <c r="H20" s="49">
        <f t="shared" si="0"/>
        <v>12100</v>
      </c>
    </row>
    <row r="21" spans="2:8" ht="15">
      <c r="B21" s="56" t="s">
        <v>88</v>
      </c>
      <c r="C21" s="57"/>
      <c r="D21" s="56">
        <v>8</v>
      </c>
      <c r="E21" s="58"/>
      <c r="F21" s="37" t="s">
        <v>81</v>
      </c>
      <c r="G21" s="46">
        <f>1558752/D21/12</f>
        <v>16237</v>
      </c>
      <c r="H21" s="49">
        <f t="shared" si="0"/>
        <v>16237</v>
      </c>
    </row>
    <row r="22" spans="2:8" ht="15">
      <c r="B22" s="56" t="s">
        <v>89</v>
      </c>
      <c r="C22" s="57"/>
      <c r="D22" s="56">
        <v>3</v>
      </c>
      <c r="E22" s="58"/>
      <c r="F22" s="37" t="s">
        <v>81</v>
      </c>
      <c r="G22" s="46">
        <f>584532/D22/12</f>
        <v>16237</v>
      </c>
      <c r="H22" s="49">
        <f t="shared" si="0"/>
        <v>16237</v>
      </c>
    </row>
    <row r="23" spans="2:8" ht="15">
      <c r="B23" s="56" t="s">
        <v>312</v>
      </c>
      <c r="C23" s="57"/>
      <c r="D23" s="56">
        <v>2</v>
      </c>
      <c r="E23" s="58"/>
      <c r="F23" s="37" t="s">
        <v>81</v>
      </c>
      <c r="G23" s="46">
        <f>389688/D23/12</f>
        <v>16237</v>
      </c>
      <c r="H23" s="49">
        <f t="shared" si="0"/>
        <v>16237</v>
      </c>
    </row>
    <row r="24" spans="2:8" ht="15">
      <c r="B24" s="56" t="s">
        <v>90</v>
      </c>
      <c r="C24" s="57"/>
      <c r="D24" s="56">
        <v>77</v>
      </c>
      <c r="E24" s="58"/>
      <c r="F24" s="37" t="s">
        <v>81</v>
      </c>
      <c r="G24" s="46">
        <f>15002988/D24/12</f>
        <v>16237</v>
      </c>
      <c r="H24" s="49">
        <f t="shared" si="0"/>
        <v>16237</v>
      </c>
    </row>
    <row r="25" spans="2:8" ht="15">
      <c r="B25" s="56" t="s">
        <v>91</v>
      </c>
      <c r="C25" s="57"/>
      <c r="D25" s="56">
        <v>5</v>
      </c>
      <c r="E25" s="58"/>
      <c r="F25" s="37" t="s">
        <v>81</v>
      </c>
      <c r="G25" s="46">
        <f>974220/D25/12</f>
        <v>16237</v>
      </c>
      <c r="H25" s="49">
        <f t="shared" si="0"/>
        <v>16237</v>
      </c>
    </row>
    <row r="26" spans="2:8" ht="15">
      <c r="B26" s="56" t="s">
        <v>92</v>
      </c>
      <c r="C26" s="57"/>
      <c r="D26" s="56">
        <v>4</v>
      </c>
      <c r="E26" s="58"/>
      <c r="F26" s="37" t="s">
        <v>81</v>
      </c>
      <c r="G26" s="46">
        <f>779376/D26/12</f>
        <v>16237</v>
      </c>
      <c r="H26" s="49">
        <f t="shared" si="0"/>
        <v>16237</v>
      </c>
    </row>
    <row r="27" spans="2:8" ht="15">
      <c r="B27" s="56" t="s">
        <v>297</v>
      </c>
      <c r="C27" s="57"/>
      <c r="D27" s="56">
        <v>3</v>
      </c>
      <c r="E27" s="58"/>
      <c r="F27" s="37" t="s">
        <v>81</v>
      </c>
      <c r="G27" s="46">
        <f>584532/D27/12</f>
        <v>16237</v>
      </c>
      <c r="H27" s="49">
        <f t="shared" si="0"/>
        <v>16237</v>
      </c>
    </row>
    <row r="28" spans="2:8" ht="15">
      <c r="B28" s="56" t="s">
        <v>217</v>
      </c>
      <c r="C28" s="57"/>
      <c r="D28" s="56">
        <v>22</v>
      </c>
      <c r="E28" s="58"/>
      <c r="F28" s="37" t="s">
        <v>81</v>
      </c>
      <c r="G28" s="46">
        <f>4370256/D28/12</f>
        <v>16554</v>
      </c>
      <c r="H28" s="49">
        <f t="shared" si="0"/>
        <v>16554</v>
      </c>
    </row>
    <row r="29" spans="2:8" ht="15">
      <c r="B29" s="56" t="s">
        <v>218</v>
      </c>
      <c r="C29" s="57"/>
      <c r="D29" s="56">
        <v>3</v>
      </c>
      <c r="E29" s="58"/>
      <c r="F29" s="37" t="s">
        <v>81</v>
      </c>
      <c r="G29" s="46">
        <f>562068/D29/12</f>
        <v>15613</v>
      </c>
      <c r="H29" s="49">
        <f t="shared" si="0"/>
        <v>15613</v>
      </c>
    </row>
    <row r="30" spans="2:8" ht="15">
      <c r="B30" s="56" t="s">
        <v>219</v>
      </c>
      <c r="C30" s="57"/>
      <c r="D30" s="56">
        <v>1</v>
      </c>
      <c r="E30" s="58"/>
      <c r="F30" s="37" t="s">
        <v>81</v>
      </c>
      <c r="G30" s="46">
        <f>194844/D30/12</f>
        <v>16237</v>
      </c>
      <c r="H30" s="49">
        <f t="shared" si="0"/>
        <v>16237</v>
      </c>
    </row>
    <row r="31" spans="2:8" ht="15">
      <c r="B31" s="56" t="s">
        <v>313</v>
      </c>
      <c r="C31" s="57"/>
      <c r="D31" s="56">
        <v>5</v>
      </c>
      <c r="E31" s="58"/>
      <c r="F31" s="42" t="s">
        <v>81</v>
      </c>
      <c r="G31" s="46">
        <f>815820/D31/12</f>
        <v>13597</v>
      </c>
      <c r="H31" s="49">
        <f t="shared" si="0"/>
        <v>13597</v>
      </c>
    </row>
    <row r="32" spans="2:8" ht="15">
      <c r="B32" s="56" t="s">
        <v>314</v>
      </c>
      <c r="C32" s="57"/>
      <c r="D32" s="56">
        <v>7</v>
      </c>
      <c r="E32" s="58"/>
      <c r="F32" s="42" t="s">
        <v>81</v>
      </c>
      <c r="G32" s="46">
        <f>1150800/D32/12</f>
        <v>13700</v>
      </c>
      <c r="H32" s="49">
        <f t="shared" si="0"/>
        <v>13700</v>
      </c>
    </row>
    <row r="33" spans="2:8" ht="15">
      <c r="B33" s="56" t="s">
        <v>315</v>
      </c>
      <c r="C33" s="57"/>
      <c r="D33" s="56">
        <v>10</v>
      </c>
      <c r="E33" s="58"/>
      <c r="F33" s="42" t="s">
        <v>81</v>
      </c>
      <c r="G33" s="46">
        <f>1644000/D33/12</f>
        <v>13700</v>
      </c>
      <c r="H33" s="49">
        <f t="shared" si="0"/>
        <v>13700</v>
      </c>
    </row>
    <row r="34" spans="2:8" ht="15">
      <c r="B34" s="56" t="s">
        <v>93</v>
      </c>
      <c r="C34" s="57"/>
      <c r="D34" s="56">
        <v>5</v>
      </c>
      <c r="E34" s="58"/>
      <c r="F34" s="37" t="s">
        <v>81</v>
      </c>
      <c r="G34" s="46">
        <f>1030020/D34/12</f>
        <v>17167</v>
      </c>
      <c r="H34" s="49">
        <f t="shared" si="0"/>
        <v>17167</v>
      </c>
    </row>
    <row r="35" spans="2:8" ht="15">
      <c r="B35" s="56" t="s">
        <v>94</v>
      </c>
      <c r="C35" s="57"/>
      <c r="D35" s="56">
        <v>33</v>
      </c>
      <c r="E35" s="58"/>
      <c r="F35" s="37" t="s">
        <v>81</v>
      </c>
      <c r="G35" s="46">
        <f>6798132/D35/12</f>
        <v>17167</v>
      </c>
      <c r="H35" s="49">
        <f t="shared" si="0"/>
        <v>17167</v>
      </c>
    </row>
    <row r="36" spans="2:8" ht="15">
      <c r="B36" s="56" t="s">
        <v>95</v>
      </c>
      <c r="C36" s="57"/>
      <c r="D36" s="56">
        <v>2</v>
      </c>
      <c r="E36" s="58"/>
      <c r="F36" s="37" t="s">
        <v>81</v>
      </c>
      <c r="G36" s="46">
        <f>412008/D36/12</f>
        <v>17167</v>
      </c>
      <c r="H36" s="49">
        <f t="shared" si="0"/>
        <v>17167</v>
      </c>
    </row>
    <row r="37" spans="2:8" ht="15">
      <c r="B37" s="56" t="s">
        <v>96</v>
      </c>
      <c r="C37" s="57"/>
      <c r="D37" s="56">
        <v>2</v>
      </c>
      <c r="E37" s="58"/>
      <c r="F37" s="37" t="s">
        <v>81</v>
      </c>
      <c r="G37" s="46">
        <f>412008/D37/12</f>
        <v>17167</v>
      </c>
      <c r="H37" s="49">
        <f t="shared" si="0"/>
        <v>17167</v>
      </c>
    </row>
    <row r="38" spans="2:8" ht="15">
      <c r="B38" s="56" t="s">
        <v>97</v>
      </c>
      <c r="C38" s="57"/>
      <c r="D38" s="56">
        <v>1</v>
      </c>
      <c r="E38" s="58"/>
      <c r="F38" s="37" t="s">
        <v>81</v>
      </c>
      <c r="G38" s="46">
        <f>206004/D38/12</f>
        <v>17167</v>
      </c>
      <c r="H38" s="49">
        <f t="shared" si="0"/>
        <v>17167</v>
      </c>
    </row>
    <row r="39" spans="2:8" ht="15">
      <c r="B39" s="56" t="s">
        <v>98</v>
      </c>
      <c r="C39" s="57"/>
      <c r="D39" s="56">
        <v>1</v>
      </c>
      <c r="E39" s="58"/>
      <c r="F39" s="37" t="s">
        <v>81</v>
      </c>
      <c r="G39" s="46">
        <f>206004/D39/12</f>
        <v>17167</v>
      </c>
      <c r="H39" s="49">
        <f t="shared" si="0"/>
        <v>17167</v>
      </c>
    </row>
    <row r="40" spans="2:8" ht="15">
      <c r="B40" s="56" t="s">
        <v>99</v>
      </c>
      <c r="C40" s="57"/>
      <c r="D40" s="56">
        <v>1</v>
      </c>
      <c r="E40" s="58"/>
      <c r="F40" s="37" t="s">
        <v>81</v>
      </c>
      <c r="G40" s="46">
        <f>206004/D40/12</f>
        <v>17167</v>
      </c>
      <c r="H40" s="49">
        <f t="shared" si="0"/>
        <v>17167</v>
      </c>
    </row>
    <row r="41" spans="2:8" ht="15">
      <c r="B41" s="56" t="s">
        <v>100</v>
      </c>
      <c r="C41" s="57"/>
      <c r="D41" s="56">
        <v>1</v>
      </c>
      <c r="E41" s="58"/>
      <c r="F41" s="37" t="s">
        <v>81</v>
      </c>
      <c r="G41" s="46">
        <f>206004/D41/12</f>
        <v>17167</v>
      </c>
      <c r="H41" s="49">
        <f t="shared" si="0"/>
        <v>17167</v>
      </c>
    </row>
    <row r="42" spans="2:8" ht="15">
      <c r="B42" s="56" t="s">
        <v>101</v>
      </c>
      <c r="C42" s="57"/>
      <c r="D42" s="56">
        <v>9</v>
      </c>
      <c r="E42" s="58"/>
      <c r="F42" s="37" t="s">
        <v>81</v>
      </c>
      <c r="G42" s="46">
        <f>1854036/D42/12</f>
        <v>17167</v>
      </c>
      <c r="H42" s="49">
        <f t="shared" si="0"/>
        <v>17167</v>
      </c>
    </row>
    <row r="43" spans="2:8" ht="15">
      <c r="B43" s="56" t="s">
        <v>220</v>
      </c>
      <c r="C43" s="57"/>
      <c r="D43" s="56">
        <v>8</v>
      </c>
      <c r="E43" s="58"/>
      <c r="F43" s="37" t="s">
        <v>81</v>
      </c>
      <c r="G43" s="46">
        <f>1648032/D43/12</f>
        <v>17167</v>
      </c>
      <c r="H43" s="49">
        <f t="shared" si="0"/>
        <v>17167</v>
      </c>
    </row>
    <row r="44" spans="2:8" ht="15">
      <c r="B44" s="56" t="s">
        <v>221</v>
      </c>
      <c r="C44" s="57"/>
      <c r="D44" s="56">
        <v>17</v>
      </c>
      <c r="E44" s="58"/>
      <c r="F44" s="37" t="s">
        <v>81</v>
      </c>
      <c r="G44" s="46">
        <f>3502068/D44/12</f>
        <v>17167</v>
      </c>
      <c r="H44" s="49">
        <f t="shared" si="0"/>
        <v>17167</v>
      </c>
    </row>
    <row r="45" spans="2:8" ht="15">
      <c r="B45" s="56" t="s">
        <v>222</v>
      </c>
      <c r="C45" s="57"/>
      <c r="D45" s="56">
        <v>260</v>
      </c>
      <c r="E45" s="58"/>
      <c r="F45" s="37" t="s">
        <v>81</v>
      </c>
      <c r="G45" s="46">
        <f>53561040/D45/12</f>
        <v>17167</v>
      </c>
      <c r="H45" s="49">
        <f t="shared" si="0"/>
        <v>17167</v>
      </c>
    </row>
    <row r="46" spans="2:8" ht="15">
      <c r="B46" s="56" t="s">
        <v>102</v>
      </c>
      <c r="C46" s="57"/>
      <c r="D46" s="56">
        <v>34</v>
      </c>
      <c r="E46" s="58"/>
      <c r="F46" s="37" t="s">
        <v>81</v>
      </c>
      <c r="G46" s="46">
        <f>7978848/D46/12</f>
        <v>19556</v>
      </c>
      <c r="H46" s="49">
        <f t="shared" si="0"/>
        <v>19556</v>
      </c>
    </row>
    <row r="47" spans="2:8" ht="15">
      <c r="B47" s="56" t="s">
        <v>103</v>
      </c>
      <c r="C47" s="57"/>
      <c r="D47" s="56">
        <v>1</v>
      </c>
      <c r="E47" s="58"/>
      <c r="F47" s="37" t="s">
        <v>81</v>
      </c>
      <c r="G47" s="46">
        <f>234672/D47/12</f>
        <v>19556</v>
      </c>
      <c r="H47" s="49">
        <f t="shared" si="0"/>
        <v>19556</v>
      </c>
    </row>
    <row r="48" spans="2:8" ht="15">
      <c r="B48" s="56" t="s">
        <v>104</v>
      </c>
      <c r="C48" s="57"/>
      <c r="D48" s="56">
        <v>2</v>
      </c>
      <c r="E48" s="58"/>
      <c r="F48" s="37" t="s">
        <v>81</v>
      </c>
      <c r="G48" s="46">
        <f>469344/D48/12</f>
        <v>19556</v>
      </c>
      <c r="H48" s="49">
        <f t="shared" si="0"/>
        <v>19556</v>
      </c>
    </row>
    <row r="49" spans="2:8" ht="15">
      <c r="B49" s="56" t="s">
        <v>105</v>
      </c>
      <c r="C49" s="57"/>
      <c r="D49" s="56">
        <v>2</v>
      </c>
      <c r="E49" s="58"/>
      <c r="F49" s="37" t="s">
        <v>81</v>
      </c>
      <c r="G49" s="46">
        <f>469344/D49/12</f>
        <v>19556</v>
      </c>
      <c r="H49" s="49">
        <f t="shared" si="0"/>
        <v>19556</v>
      </c>
    </row>
    <row r="50" spans="2:8" ht="15">
      <c r="B50" s="56" t="s">
        <v>106</v>
      </c>
      <c r="C50" s="57"/>
      <c r="D50" s="56">
        <v>4</v>
      </c>
      <c r="E50" s="58"/>
      <c r="F50" s="37" t="s">
        <v>81</v>
      </c>
      <c r="G50" s="46">
        <f>938688/D50/12</f>
        <v>19556</v>
      </c>
      <c r="H50" s="49">
        <f t="shared" si="0"/>
        <v>19556</v>
      </c>
    </row>
    <row r="51" spans="2:8" ht="15">
      <c r="B51" s="56" t="s">
        <v>107</v>
      </c>
      <c r="C51" s="57"/>
      <c r="D51" s="56">
        <v>12</v>
      </c>
      <c r="E51" s="58"/>
      <c r="F51" s="37" t="s">
        <v>81</v>
      </c>
      <c r="G51" s="46">
        <f>2816064/D51/12</f>
        <v>19556</v>
      </c>
      <c r="H51" s="49">
        <f t="shared" si="0"/>
        <v>19556</v>
      </c>
    </row>
    <row r="52" spans="2:8" ht="15">
      <c r="B52" s="56" t="s">
        <v>108</v>
      </c>
      <c r="C52" s="57"/>
      <c r="D52" s="56">
        <v>56</v>
      </c>
      <c r="E52" s="58"/>
      <c r="F52" s="37" t="s">
        <v>81</v>
      </c>
      <c r="G52" s="46">
        <f>13141632/D52/12</f>
        <v>19556</v>
      </c>
      <c r="H52" s="49">
        <f t="shared" si="0"/>
        <v>19556</v>
      </c>
    </row>
    <row r="53" spans="2:8" ht="15">
      <c r="B53" s="56" t="s">
        <v>109</v>
      </c>
      <c r="C53" s="57"/>
      <c r="D53" s="56">
        <v>2</v>
      </c>
      <c r="E53" s="58"/>
      <c r="F53" s="37" t="s">
        <v>81</v>
      </c>
      <c r="G53" s="46">
        <f>469344/D53/12</f>
        <v>19556</v>
      </c>
      <c r="H53" s="49">
        <f t="shared" si="0"/>
        <v>19556</v>
      </c>
    </row>
    <row r="54" spans="2:8" ht="15">
      <c r="B54" s="56" t="s">
        <v>110</v>
      </c>
      <c r="C54" s="57"/>
      <c r="D54" s="56">
        <v>1</v>
      </c>
      <c r="E54" s="58"/>
      <c r="F54" s="37" t="s">
        <v>81</v>
      </c>
      <c r="G54" s="46">
        <f>234672/D54/12</f>
        <v>19556</v>
      </c>
      <c r="H54" s="49">
        <f t="shared" si="0"/>
        <v>19556</v>
      </c>
    </row>
    <row r="55" spans="2:8" ht="15">
      <c r="B55" s="56" t="s">
        <v>111</v>
      </c>
      <c r="C55" s="57"/>
      <c r="D55" s="56">
        <v>17</v>
      </c>
      <c r="E55" s="58"/>
      <c r="F55" s="37" t="s">
        <v>81</v>
      </c>
      <c r="G55" s="46">
        <f>3989424/D55/12</f>
        <v>19556</v>
      </c>
      <c r="H55" s="49">
        <f t="shared" si="0"/>
        <v>19556</v>
      </c>
    </row>
    <row r="56" spans="2:8" ht="15">
      <c r="B56" s="56" t="s">
        <v>112</v>
      </c>
      <c r="C56" s="57"/>
      <c r="D56" s="56">
        <v>18</v>
      </c>
      <c r="E56" s="58"/>
      <c r="F56" s="37" t="s">
        <v>81</v>
      </c>
      <c r="G56" s="46">
        <f>4224096/D56/12</f>
        <v>19556</v>
      </c>
      <c r="H56" s="49">
        <f t="shared" si="0"/>
        <v>19556</v>
      </c>
    </row>
    <row r="57" spans="2:8" ht="15">
      <c r="B57" s="56" t="s">
        <v>113</v>
      </c>
      <c r="C57" s="57"/>
      <c r="D57" s="56">
        <v>83</v>
      </c>
      <c r="E57" s="58"/>
      <c r="F57" s="37" t="s">
        <v>81</v>
      </c>
      <c r="G57" s="46">
        <f>19477776/D57/12</f>
        <v>19556</v>
      </c>
      <c r="H57" s="49">
        <f t="shared" si="0"/>
        <v>19556</v>
      </c>
    </row>
    <row r="58" spans="2:8" ht="15">
      <c r="B58" s="56" t="s">
        <v>114</v>
      </c>
      <c r="C58" s="57"/>
      <c r="D58" s="56">
        <v>5</v>
      </c>
      <c r="E58" s="58"/>
      <c r="F58" s="37" t="s">
        <v>81</v>
      </c>
      <c r="G58" s="46">
        <f>1034160/D58/12</f>
        <v>17236</v>
      </c>
      <c r="H58" s="49">
        <f t="shared" si="0"/>
        <v>17236</v>
      </c>
    </row>
    <row r="59" spans="2:8" ht="15">
      <c r="B59" s="56" t="s">
        <v>115</v>
      </c>
      <c r="C59" s="57"/>
      <c r="D59" s="56">
        <v>38</v>
      </c>
      <c r="E59" s="58"/>
      <c r="F59" s="37" t="s">
        <v>81</v>
      </c>
      <c r="G59" s="46">
        <f>7859616/D59/12</f>
        <v>17236</v>
      </c>
      <c r="H59" s="49">
        <f t="shared" si="0"/>
        <v>17236</v>
      </c>
    </row>
    <row r="60" spans="2:8" ht="15">
      <c r="B60" s="56" t="s">
        <v>116</v>
      </c>
      <c r="C60" s="57"/>
      <c r="D60" s="56">
        <v>2</v>
      </c>
      <c r="E60" s="58"/>
      <c r="F60" s="37" t="s">
        <v>81</v>
      </c>
      <c r="G60" s="46">
        <f>469344/D60/12</f>
        <v>19556</v>
      </c>
      <c r="H60" s="49">
        <f t="shared" si="0"/>
        <v>19556</v>
      </c>
    </row>
    <row r="61" spans="2:8" ht="15">
      <c r="B61" s="56" t="s">
        <v>117</v>
      </c>
      <c r="C61" s="57"/>
      <c r="D61" s="56">
        <v>10</v>
      </c>
      <c r="E61" s="58"/>
      <c r="F61" s="37" t="s">
        <v>81</v>
      </c>
      <c r="G61" s="46">
        <f>2346720/D61/12</f>
        <v>19556</v>
      </c>
      <c r="H61" s="49">
        <f t="shared" si="0"/>
        <v>19556</v>
      </c>
    </row>
    <row r="62" spans="2:8" ht="15">
      <c r="B62" s="56" t="s">
        <v>118</v>
      </c>
      <c r="C62" s="57"/>
      <c r="D62" s="56">
        <v>560</v>
      </c>
      <c r="E62" s="58"/>
      <c r="F62" s="37" t="s">
        <v>81</v>
      </c>
      <c r="G62" s="46">
        <f>131416320/D62/12</f>
        <v>19556</v>
      </c>
      <c r="H62" s="49">
        <f t="shared" si="0"/>
        <v>19556</v>
      </c>
    </row>
    <row r="63" spans="2:8" ht="15">
      <c r="B63" s="56" t="s">
        <v>298</v>
      </c>
      <c r="C63" s="57"/>
      <c r="D63" s="56">
        <v>19</v>
      </c>
      <c r="E63" s="58"/>
      <c r="F63" s="37" t="s">
        <v>81</v>
      </c>
      <c r="G63" s="46">
        <f>4458768/D63/12</f>
        <v>19556</v>
      </c>
      <c r="H63" s="49">
        <f t="shared" si="0"/>
        <v>19556</v>
      </c>
    </row>
    <row r="64" spans="2:8" ht="15">
      <c r="B64" s="56" t="s">
        <v>119</v>
      </c>
      <c r="C64" s="57"/>
      <c r="D64" s="56">
        <v>6</v>
      </c>
      <c r="E64" s="58"/>
      <c r="F64" s="37" t="s">
        <v>81</v>
      </c>
      <c r="G64" s="46">
        <f>1511496/D64/12</f>
        <v>20993</v>
      </c>
      <c r="H64" s="49">
        <f t="shared" si="0"/>
        <v>20993</v>
      </c>
    </row>
    <row r="65" spans="2:8" ht="15">
      <c r="B65" s="56" t="s">
        <v>120</v>
      </c>
      <c r="C65" s="57"/>
      <c r="D65" s="56">
        <v>6</v>
      </c>
      <c r="E65" s="58"/>
      <c r="F65" s="37" t="s">
        <v>81</v>
      </c>
      <c r="G65" s="46">
        <f>1511496/D65/12</f>
        <v>20993</v>
      </c>
      <c r="H65" s="49">
        <f t="shared" si="0"/>
        <v>20993</v>
      </c>
    </row>
    <row r="66" spans="2:8" ht="15">
      <c r="B66" s="56" t="s">
        <v>121</v>
      </c>
      <c r="C66" s="57"/>
      <c r="D66" s="56">
        <v>14</v>
      </c>
      <c r="E66" s="58"/>
      <c r="F66" s="37" t="s">
        <v>81</v>
      </c>
      <c r="G66" s="46">
        <f>3526824/D66/12</f>
        <v>20993</v>
      </c>
      <c r="H66" s="49">
        <f t="shared" si="0"/>
        <v>20993</v>
      </c>
    </row>
    <row r="67" spans="2:8" ht="15">
      <c r="B67" s="56" t="s">
        <v>299</v>
      </c>
      <c r="C67" s="57"/>
      <c r="D67" s="56">
        <v>1</v>
      </c>
      <c r="E67" s="58"/>
      <c r="F67" s="37" t="s">
        <v>81</v>
      </c>
      <c r="G67" s="46">
        <f>251916/D67/12</f>
        <v>20993</v>
      </c>
      <c r="H67" s="49">
        <f t="shared" si="0"/>
        <v>20993</v>
      </c>
    </row>
    <row r="68" spans="2:8" ht="15">
      <c r="B68" s="56" t="s">
        <v>122</v>
      </c>
      <c r="C68" s="57"/>
      <c r="D68" s="56">
        <v>4</v>
      </c>
      <c r="E68" s="58"/>
      <c r="F68" s="37" t="s">
        <v>81</v>
      </c>
      <c r="G68" s="46">
        <f>1007664/D68/12</f>
        <v>20993</v>
      </c>
      <c r="H68" s="49">
        <f t="shared" si="0"/>
        <v>20993</v>
      </c>
    </row>
    <row r="69" spans="2:8" ht="15">
      <c r="B69" s="56" t="s">
        <v>123</v>
      </c>
      <c r="C69" s="57"/>
      <c r="D69" s="56">
        <v>69</v>
      </c>
      <c r="E69" s="58"/>
      <c r="F69" s="37" t="s">
        <v>81</v>
      </c>
      <c r="G69" s="46">
        <f>17382204/D69/12</f>
        <v>20993</v>
      </c>
      <c r="H69" s="49">
        <f t="shared" si="0"/>
        <v>20993</v>
      </c>
    </row>
    <row r="70" spans="2:8" ht="15">
      <c r="B70" s="56" t="s">
        <v>124</v>
      </c>
      <c r="C70" s="57"/>
      <c r="D70" s="56">
        <v>1</v>
      </c>
      <c r="E70" s="58"/>
      <c r="F70" s="37" t="s">
        <v>81</v>
      </c>
      <c r="G70" s="46">
        <f>251916/D70/12</f>
        <v>20993</v>
      </c>
      <c r="H70" s="49">
        <f t="shared" si="0"/>
        <v>20993</v>
      </c>
    </row>
    <row r="71" spans="2:8" ht="15">
      <c r="B71" s="56" t="s">
        <v>125</v>
      </c>
      <c r="C71" s="57"/>
      <c r="D71" s="56">
        <v>1</v>
      </c>
      <c r="E71" s="58"/>
      <c r="F71" s="37" t="s">
        <v>81</v>
      </c>
      <c r="G71" s="46">
        <f>222036/D71/12</f>
        <v>18503</v>
      </c>
      <c r="H71" s="49">
        <f t="shared" si="0"/>
        <v>18503</v>
      </c>
    </row>
    <row r="72" spans="2:8" ht="15">
      <c r="B72" s="56" t="s">
        <v>223</v>
      </c>
      <c r="C72" s="57"/>
      <c r="D72" s="56">
        <v>1935</v>
      </c>
      <c r="E72" s="58"/>
      <c r="F72" s="37" t="s">
        <v>81</v>
      </c>
      <c r="G72" s="46">
        <f>504408060/D72/12</f>
        <v>21723</v>
      </c>
      <c r="H72" s="49">
        <f t="shared" si="0"/>
        <v>21723</v>
      </c>
    </row>
    <row r="73" spans="2:8" ht="15">
      <c r="B73" s="56" t="s">
        <v>126</v>
      </c>
      <c r="C73" s="57"/>
      <c r="D73" s="56">
        <v>160</v>
      </c>
      <c r="E73" s="58"/>
      <c r="F73" s="37" t="s">
        <v>81</v>
      </c>
      <c r="G73" s="46">
        <f>40306560/D73/12</f>
        <v>20993</v>
      </c>
      <c r="H73" s="49">
        <f t="shared" si="0"/>
        <v>20993</v>
      </c>
    </row>
    <row r="74" spans="2:8" ht="15">
      <c r="B74" s="56" t="s">
        <v>224</v>
      </c>
      <c r="C74" s="57"/>
      <c r="D74" s="56">
        <v>82</v>
      </c>
      <c r="E74" s="58"/>
      <c r="F74" s="37" t="s">
        <v>81</v>
      </c>
      <c r="G74" s="46">
        <f>21375432/D74/12</f>
        <v>21723</v>
      </c>
      <c r="H74" s="49">
        <f t="shared" si="0"/>
        <v>21723</v>
      </c>
    </row>
    <row r="75" spans="2:8" ht="15">
      <c r="B75" s="56" t="s">
        <v>225</v>
      </c>
      <c r="C75" s="57"/>
      <c r="D75" s="56">
        <v>324</v>
      </c>
      <c r="E75" s="58"/>
      <c r="F75" s="37" t="s">
        <v>81</v>
      </c>
      <c r="G75" s="46">
        <f>84459024/D75/12</f>
        <v>21723</v>
      </c>
      <c r="H75" s="49">
        <f t="shared" si="0"/>
        <v>21723</v>
      </c>
    </row>
    <row r="76" spans="2:8" ht="15">
      <c r="B76" s="56" t="s">
        <v>316</v>
      </c>
      <c r="C76" s="57"/>
      <c r="D76" s="56">
        <v>117</v>
      </c>
      <c r="E76" s="58"/>
      <c r="F76" s="42" t="s">
        <v>81</v>
      </c>
      <c r="G76" s="46">
        <f>30499092/D76/12</f>
        <v>21723</v>
      </c>
      <c r="H76" s="49">
        <f t="shared" si="0"/>
        <v>21723</v>
      </c>
    </row>
    <row r="77" spans="2:8" ht="15">
      <c r="B77" s="56" t="s">
        <v>127</v>
      </c>
      <c r="C77" s="57"/>
      <c r="D77" s="56">
        <v>202</v>
      </c>
      <c r="E77" s="58"/>
      <c r="F77" s="37" t="s">
        <v>81</v>
      </c>
      <c r="G77" s="46">
        <f>50887032/D77/12</f>
        <v>20993</v>
      </c>
      <c r="H77" s="49">
        <f t="shared" si="0"/>
        <v>20993</v>
      </c>
    </row>
    <row r="78" spans="2:8" ht="15">
      <c r="B78" s="56" t="s">
        <v>317</v>
      </c>
      <c r="C78" s="57"/>
      <c r="D78" s="56">
        <v>4</v>
      </c>
      <c r="E78" s="58"/>
      <c r="F78" s="37" t="s">
        <v>81</v>
      </c>
      <c r="G78" s="46">
        <f>1042704/D78/12</f>
        <v>21723</v>
      </c>
      <c r="H78" s="49">
        <f aca="true" t="shared" si="1" ref="H78:H146">+G78</f>
        <v>21723</v>
      </c>
    </row>
    <row r="79" spans="2:8" ht="15">
      <c r="B79" s="56" t="s">
        <v>226</v>
      </c>
      <c r="C79" s="57"/>
      <c r="D79" s="56">
        <v>17</v>
      </c>
      <c r="E79" s="58"/>
      <c r="F79" s="37" t="s">
        <v>81</v>
      </c>
      <c r="G79" s="46">
        <f>4431492/D79/12</f>
        <v>21723</v>
      </c>
      <c r="H79" s="49">
        <f t="shared" si="1"/>
        <v>21723</v>
      </c>
    </row>
    <row r="80" spans="2:8" ht="15">
      <c r="B80" s="56" t="s">
        <v>227</v>
      </c>
      <c r="C80" s="57"/>
      <c r="D80" s="56">
        <v>29</v>
      </c>
      <c r="E80" s="58"/>
      <c r="F80" s="37" t="s">
        <v>81</v>
      </c>
      <c r="G80" s="46">
        <f>7559604/D80/12</f>
        <v>21723</v>
      </c>
      <c r="H80" s="49">
        <f t="shared" si="1"/>
        <v>21723</v>
      </c>
    </row>
    <row r="81" spans="2:8" ht="15">
      <c r="B81" s="56" t="s">
        <v>300</v>
      </c>
      <c r="C81" s="57"/>
      <c r="D81" s="56">
        <v>1</v>
      </c>
      <c r="E81" s="58"/>
      <c r="F81" s="37" t="s">
        <v>81</v>
      </c>
      <c r="G81" s="46">
        <f>260676/D81/12</f>
        <v>21723</v>
      </c>
      <c r="H81" s="49">
        <f t="shared" si="1"/>
        <v>21723</v>
      </c>
    </row>
    <row r="82" spans="2:8" ht="15">
      <c r="B82" s="56" t="s">
        <v>128</v>
      </c>
      <c r="C82" s="57"/>
      <c r="D82" s="56">
        <v>15</v>
      </c>
      <c r="E82" s="58"/>
      <c r="F82" s="37" t="s">
        <v>81</v>
      </c>
      <c r="G82" s="46">
        <f>4013100/D82/12</f>
        <v>22295</v>
      </c>
      <c r="H82" s="49">
        <f t="shared" si="1"/>
        <v>22295</v>
      </c>
    </row>
    <row r="83" spans="2:8" ht="15">
      <c r="B83" s="56" t="s">
        <v>129</v>
      </c>
      <c r="C83" s="57"/>
      <c r="D83" s="56">
        <v>283</v>
      </c>
      <c r="E83" s="58"/>
      <c r="F83" s="37" t="s">
        <v>81</v>
      </c>
      <c r="G83" s="46">
        <f>75713820/D83/12</f>
        <v>22295</v>
      </c>
      <c r="H83" s="49">
        <f t="shared" si="1"/>
        <v>22295</v>
      </c>
    </row>
    <row r="84" spans="2:8" ht="15">
      <c r="B84" s="56" t="s">
        <v>130</v>
      </c>
      <c r="C84" s="57"/>
      <c r="D84" s="56">
        <v>5</v>
      </c>
      <c r="E84" s="58"/>
      <c r="F84" s="37" t="s">
        <v>81</v>
      </c>
      <c r="G84" s="46">
        <f>1337700/D84/12</f>
        <v>22295</v>
      </c>
      <c r="H84" s="49">
        <f t="shared" si="1"/>
        <v>22295</v>
      </c>
    </row>
    <row r="85" spans="2:8" ht="15">
      <c r="B85" s="56" t="s">
        <v>131</v>
      </c>
      <c r="C85" s="57"/>
      <c r="D85" s="56">
        <v>5</v>
      </c>
      <c r="E85" s="58"/>
      <c r="F85" s="37" t="s">
        <v>81</v>
      </c>
      <c r="G85" s="46">
        <f>1337700/D85/12</f>
        <v>22295</v>
      </c>
      <c r="H85" s="49">
        <f t="shared" si="1"/>
        <v>22295</v>
      </c>
    </row>
    <row r="86" spans="2:8" ht="15">
      <c r="B86" s="56" t="s">
        <v>132</v>
      </c>
      <c r="C86" s="57"/>
      <c r="D86" s="56">
        <v>4</v>
      </c>
      <c r="E86" s="58"/>
      <c r="F86" s="37" t="s">
        <v>81</v>
      </c>
      <c r="G86" s="46">
        <f>1070160/D86/12</f>
        <v>22295</v>
      </c>
      <c r="H86" s="49">
        <f t="shared" si="1"/>
        <v>22295</v>
      </c>
    </row>
    <row r="87" spans="2:8" ht="15">
      <c r="B87" s="56" t="s">
        <v>133</v>
      </c>
      <c r="C87" s="57"/>
      <c r="D87" s="56">
        <v>60</v>
      </c>
      <c r="E87" s="58"/>
      <c r="F87" s="37" t="s">
        <v>81</v>
      </c>
      <c r="G87" s="46">
        <f>16052400/D87/12</f>
        <v>22295</v>
      </c>
      <c r="H87" s="49">
        <f t="shared" si="1"/>
        <v>22295</v>
      </c>
    </row>
    <row r="88" spans="2:8" ht="15">
      <c r="B88" s="56" t="s">
        <v>134</v>
      </c>
      <c r="C88" s="57"/>
      <c r="D88" s="56">
        <v>8</v>
      </c>
      <c r="E88" s="58"/>
      <c r="F88" s="37" t="s">
        <v>81</v>
      </c>
      <c r="G88" s="46">
        <f>2140320/D88/12</f>
        <v>22295</v>
      </c>
      <c r="H88" s="49">
        <f t="shared" si="1"/>
        <v>22295</v>
      </c>
    </row>
    <row r="89" spans="2:8" ht="15">
      <c r="B89" s="56" t="s">
        <v>135</v>
      </c>
      <c r="C89" s="57"/>
      <c r="D89" s="56">
        <v>20</v>
      </c>
      <c r="E89" s="58"/>
      <c r="F89" s="37" t="s">
        <v>81</v>
      </c>
      <c r="G89" s="46">
        <f>5350800/D89/12</f>
        <v>22295</v>
      </c>
      <c r="H89" s="49">
        <f t="shared" si="1"/>
        <v>22295</v>
      </c>
    </row>
    <row r="90" spans="2:8" ht="15">
      <c r="B90" s="56" t="s">
        <v>136</v>
      </c>
      <c r="C90" s="57"/>
      <c r="D90" s="56">
        <v>114</v>
      </c>
      <c r="E90" s="58"/>
      <c r="F90" s="37" t="s">
        <v>81</v>
      </c>
      <c r="G90" s="46">
        <f>30499560/D90/12</f>
        <v>22295</v>
      </c>
      <c r="H90" s="49">
        <f t="shared" si="1"/>
        <v>22295</v>
      </c>
    </row>
    <row r="91" spans="2:8" ht="15">
      <c r="B91" s="56" t="s">
        <v>137</v>
      </c>
      <c r="C91" s="57"/>
      <c r="D91" s="56">
        <v>4</v>
      </c>
      <c r="E91" s="58"/>
      <c r="F91" s="37" t="s">
        <v>81</v>
      </c>
      <c r="G91" s="46">
        <f>1070160/D91/12</f>
        <v>22295</v>
      </c>
      <c r="H91" s="49">
        <f t="shared" si="1"/>
        <v>22295</v>
      </c>
    </row>
    <row r="92" spans="2:8" ht="15">
      <c r="B92" s="56" t="s">
        <v>228</v>
      </c>
      <c r="C92" s="57"/>
      <c r="D92" s="56">
        <v>337</v>
      </c>
      <c r="E92" s="58"/>
      <c r="F92" s="37" t="s">
        <v>81</v>
      </c>
      <c r="G92" s="46">
        <f>90258036/D92/12</f>
        <v>22319</v>
      </c>
      <c r="H92" s="49">
        <f t="shared" si="1"/>
        <v>22319</v>
      </c>
    </row>
    <row r="93" spans="2:8" ht="15">
      <c r="B93" s="56" t="s">
        <v>318</v>
      </c>
      <c r="C93" s="57"/>
      <c r="D93" s="56">
        <v>2</v>
      </c>
      <c r="E93" s="58"/>
      <c r="F93" s="42" t="s">
        <v>81</v>
      </c>
      <c r="G93" s="46">
        <f>471624/D93/12</f>
        <v>19651</v>
      </c>
      <c r="H93" s="49">
        <f t="shared" si="1"/>
        <v>19651</v>
      </c>
    </row>
    <row r="94" spans="2:8" ht="15">
      <c r="B94" s="56" t="s">
        <v>138</v>
      </c>
      <c r="C94" s="57"/>
      <c r="D94" s="56">
        <v>16</v>
      </c>
      <c r="E94" s="58"/>
      <c r="F94" s="37" t="s">
        <v>81</v>
      </c>
      <c r="G94" s="46">
        <f>4280640/D94/12</f>
        <v>22295</v>
      </c>
      <c r="H94" s="49">
        <f t="shared" si="1"/>
        <v>22295</v>
      </c>
    </row>
    <row r="95" spans="2:8" ht="15">
      <c r="B95" s="56" t="s">
        <v>229</v>
      </c>
      <c r="C95" s="57"/>
      <c r="D95" s="56">
        <v>12</v>
      </c>
      <c r="E95" s="58"/>
      <c r="F95" s="37" t="s">
        <v>81</v>
      </c>
      <c r="G95" s="46">
        <f>3213936/D95/12</f>
        <v>22319</v>
      </c>
      <c r="H95" s="49">
        <f t="shared" si="1"/>
        <v>22319</v>
      </c>
    </row>
    <row r="96" spans="2:8" ht="15">
      <c r="B96" s="56" t="s">
        <v>319</v>
      </c>
      <c r="C96" s="57"/>
      <c r="D96" s="56">
        <v>14</v>
      </c>
      <c r="E96" s="58"/>
      <c r="F96" s="42" t="s">
        <v>81</v>
      </c>
      <c r="G96" s="46">
        <f>3749592/D96/12</f>
        <v>22319</v>
      </c>
      <c r="H96" s="49">
        <f t="shared" si="1"/>
        <v>22319</v>
      </c>
    </row>
    <row r="97" spans="2:8" ht="15">
      <c r="B97" s="56" t="s">
        <v>301</v>
      </c>
      <c r="C97" s="57"/>
      <c r="D97" s="56">
        <v>10</v>
      </c>
      <c r="E97" s="58"/>
      <c r="F97" s="37" t="s">
        <v>81</v>
      </c>
      <c r="G97" s="46">
        <f>2675400/D97/12</f>
        <v>22295</v>
      </c>
      <c r="H97" s="49">
        <f t="shared" si="1"/>
        <v>22295</v>
      </c>
    </row>
    <row r="98" spans="2:8" ht="15">
      <c r="B98" s="56" t="s">
        <v>139</v>
      </c>
      <c r="C98" s="57"/>
      <c r="D98" s="56">
        <v>8</v>
      </c>
      <c r="E98" s="58"/>
      <c r="F98" s="37" t="s">
        <v>81</v>
      </c>
      <c r="G98" s="46">
        <f>1886496/D98/12</f>
        <v>19651</v>
      </c>
      <c r="H98" s="49">
        <f t="shared" si="1"/>
        <v>19651</v>
      </c>
    </row>
    <row r="99" spans="2:8" ht="15">
      <c r="B99" s="56" t="s">
        <v>140</v>
      </c>
      <c r="C99" s="57"/>
      <c r="D99" s="56">
        <v>8</v>
      </c>
      <c r="E99" s="58"/>
      <c r="F99" s="37" t="s">
        <v>81</v>
      </c>
      <c r="G99" s="46">
        <f>1886496/D99/12</f>
        <v>19651</v>
      </c>
      <c r="H99" s="49">
        <f t="shared" si="1"/>
        <v>19651</v>
      </c>
    </row>
    <row r="100" spans="2:8" ht="15">
      <c r="B100" s="56" t="s">
        <v>302</v>
      </c>
      <c r="C100" s="57"/>
      <c r="D100" s="56">
        <v>1</v>
      </c>
      <c r="E100" s="58"/>
      <c r="F100" s="37" t="s">
        <v>81</v>
      </c>
      <c r="G100" s="46">
        <f>267828/D100/12</f>
        <v>22319</v>
      </c>
      <c r="H100" s="49">
        <f t="shared" si="1"/>
        <v>22319</v>
      </c>
    </row>
    <row r="101" spans="2:8" ht="15">
      <c r="B101" s="56" t="s">
        <v>303</v>
      </c>
      <c r="C101" s="57"/>
      <c r="D101" s="56">
        <v>5</v>
      </c>
      <c r="E101" s="58"/>
      <c r="F101" s="37" t="s">
        <v>81</v>
      </c>
      <c r="G101" s="46">
        <f>1339140/D101/12</f>
        <v>22319</v>
      </c>
      <c r="H101" s="49">
        <f t="shared" si="1"/>
        <v>22319</v>
      </c>
    </row>
    <row r="102" spans="2:8" ht="15">
      <c r="B102" s="56" t="s">
        <v>304</v>
      </c>
      <c r="C102" s="57"/>
      <c r="D102" s="56">
        <v>1</v>
      </c>
      <c r="E102" s="58"/>
      <c r="F102" s="37" t="s">
        <v>81</v>
      </c>
      <c r="G102" s="46">
        <f>267828/D102/12</f>
        <v>22319</v>
      </c>
      <c r="H102" s="49">
        <f t="shared" si="1"/>
        <v>22319</v>
      </c>
    </row>
    <row r="103" spans="2:8" ht="15">
      <c r="B103" s="56" t="s">
        <v>141</v>
      </c>
      <c r="C103" s="57"/>
      <c r="D103" s="56">
        <v>18</v>
      </c>
      <c r="E103" s="58"/>
      <c r="F103" s="37" t="s">
        <v>81</v>
      </c>
      <c r="G103" s="46">
        <f>5154624/D103/12</f>
        <v>23864</v>
      </c>
      <c r="H103" s="49">
        <f t="shared" si="1"/>
        <v>23864</v>
      </c>
    </row>
    <row r="104" spans="2:8" ht="15">
      <c r="B104" s="56" t="s">
        <v>142</v>
      </c>
      <c r="C104" s="57"/>
      <c r="D104" s="56">
        <v>16</v>
      </c>
      <c r="E104" s="58"/>
      <c r="F104" s="37" t="s">
        <v>81</v>
      </c>
      <c r="G104" s="46">
        <f>4581888/D104/12</f>
        <v>23864</v>
      </c>
      <c r="H104" s="49">
        <f t="shared" si="1"/>
        <v>23864</v>
      </c>
    </row>
    <row r="105" spans="2:8" ht="15">
      <c r="B105" s="56" t="s">
        <v>143</v>
      </c>
      <c r="C105" s="57"/>
      <c r="D105" s="56">
        <v>6</v>
      </c>
      <c r="E105" s="58"/>
      <c r="F105" s="37" t="s">
        <v>81</v>
      </c>
      <c r="G105" s="46">
        <f>1718208/D105/12</f>
        <v>23864</v>
      </c>
      <c r="H105" s="49">
        <f t="shared" si="1"/>
        <v>23864</v>
      </c>
    </row>
    <row r="106" spans="2:8" ht="15">
      <c r="B106" s="56" t="s">
        <v>320</v>
      </c>
      <c r="C106" s="57"/>
      <c r="D106" s="56">
        <v>2</v>
      </c>
      <c r="E106" s="58"/>
      <c r="F106" s="42" t="s">
        <v>81</v>
      </c>
      <c r="G106" s="46">
        <f>572736/D106/12</f>
        <v>23864</v>
      </c>
      <c r="H106" s="49">
        <f t="shared" si="1"/>
        <v>23864</v>
      </c>
    </row>
    <row r="107" spans="2:8" ht="15">
      <c r="B107" s="56" t="s">
        <v>144</v>
      </c>
      <c r="C107" s="57"/>
      <c r="D107" s="56">
        <v>166</v>
      </c>
      <c r="E107" s="58"/>
      <c r="F107" s="37" t="s">
        <v>81</v>
      </c>
      <c r="G107" s="46">
        <f>47537088/D107/12</f>
        <v>23864</v>
      </c>
      <c r="H107" s="49">
        <f t="shared" si="1"/>
        <v>23864</v>
      </c>
    </row>
    <row r="108" spans="2:8" ht="15">
      <c r="B108" s="56" t="s">
        <v>230</v>
      </c>
      <c r="C108" s="57"/>
      <c r="D108" s="56">
        <v>363</v>
      </c>
      <c r="E108" s="58"/>
      <c r="F108" s="37" t="s">
        <v>81</v>
      </c>
      <c r="G108" s="46">
        <f>104313132/D108/12</f>
        <v>23947</v>
      </c>
      <c r="H108" s="49">
        <f t="shared" si="1"/>
        <v>23947</v>
      </c>
    </row>
    <row r="109" spans="2:8" ht="15">
      <c r="B109" s="56" t="s">
        <v>145</v>
      </c>
      <c r="C109" s="57"/>
      <c r="D109" s="56">
        <v>5</v>
      </c>
      <c r="E109" s="58"/>
      <c r="F109" s="37" t="s">
        <v>81</v>
      </c>
      <c r="G109" s="46">
        <f>1261980/D109/12</f>
        <v>21033</v>
      </c>
      <c r="H109" s="49">
        <f t="shared" si="1"/>
        <v>21033</v>
      </c>
    </row>
    <row r="110" spans="2:8" ht="15">
      <c r="B110" s="56" t="s">
        <v>231</v>
      </c>
      <c r="C110" s="57"/>
      <c r="D110" s="56">
        <v>526</v>
      </c>
      <c r="E110" s="58"/>
      <c r="F110" s="37" t="s">
        <v>81</v>
      </c>
      <c r="G110" s="46">
        <f>151153464/D110/12</f>
        <v>23947</v>
      </c>
      <c r="H110" s="49">
        <f t="shared" si="1"/>
        <v>23947</v>
      </c>
    </row>
    <row r="111" spans="2:8" ht="15">
      <c r="B111" s="56" t="s">
        <v>146</v>
      </c>
      <c r="C111" s="57"/>
      <c r="D111" s="56">
        <v>206</v>
      </c>
      <c r="E111" s="58"/>
      <c r="F111" s="37" t="s">
        <v>81</v>
      </c>
      <c r="G111" s="46">
        <f>58991808/D111/12</f>
        <v>23864</v>
      </c>
      <c r="H111" s="49">
        <f t="shared" si="1"/>
        <v>23864</v>
      </c>
    </row>
    <row r="112" spans="2:8" ht="15">
      <c r="B112" s="56" t="s">
        <v>147</v>
      </c>
      <c r="C112" s="57"/>
      <c r="D112" s="56">
        <v>29</v>
      </c>
      <c r="E112" s="58"/>
      <c r="F112" s="37" t="s">
        <v>81</v>
      </c>
      <c r="G112" s="46">
        <f>8304672/D112/12</f>
        <v>23864</v>
      </c>
      <c r="H112" s="49">
        <f t="shared" si="1"/>
        <v>23864</v>
      </c>
    </row>
    <row r="113" spans="2:8" ht="15">
      <c r="B113" s="56" t="s">
        <v>232</v>
      </c>
      <c r="C113" s="57"/>
      <c r="D113" s="56">
        <v>13</v>
      </c>
      <c r="E113" s="58"/>
      <c r="F113" s="37" t="s">
        <v>81</v>
      </c>
      <c r="G113" s="46">
        <f>3735732/D113/12</f>
        <v>23947</v>
      </c>
      <c r="H113" s="49">
        <f t="shared" si="1"/>
        <v>23947</v>
      </c>
    </row>
    <row r="114" spans="2:8" ht="15">
      <c r="B114" s="56" t="s">
        <v>321</v>
      </c>
      <c r="C114" s="57"/>
      <c r="D114" s="56">
        <v>4</v>
      </c>
      <c r="E114" s="58"/>
      <c r="F114" s="42" t="s">
        <v>81</v>
      </c>
      <c r="G114" s="46">
        <f>1149456/D114/12</f>
        <v>23947</v>
      </c>
      <c r="H114" s="49">
        <f t="shared" si="1"/>
        <v>23947</v>
      </c>
    </row>
    <row r="115" spans="2:8" ht="15">
      <c r="B115" s="56" t="s">
        <v>163</v>
      </c>
      <c r="C115" s="57"/>
      <c r="D115" s="56">
        <v>1</v>
      </c>
      <c r="E115" s="58"/>
      <c r="F115" s="37" t="s">
        <v>81</v>
      </c>
      <c r="G115" s="46">
        <f>308604/D115/12</f>
        <v>25717</v>
      </c>
      <c r="H115" s="49">
        <f t="shared" si="1"/>
        <v>25717</v>
      </c>
    </row>
    <row r="116" spans="2:8" ht="15">
      <c r="B116" s="56" t="s">
        <v>148</v>
      </c>
      <c r="C116" s="57"/>
      <c r="D116" s="56">
        <v>28</v>
      </c>
      <c r="E116" s="58"/>
      <c r="F116" s="37" t="s">
        <v>81</v>
      </c>
      <c r="G116" s="46">
        <f>8640912/D116/12</f>
        <v>25717</v>
      </c>
      <c r="H116" s="49">
        <f t="shared" si="1"/>
        <v>25717</v>
      </c>
    </row>
    <row r="117" spans="2:8" ht="15">
      <c r="B117" s="56" t="s">
        <v>149</v>
      </c>
      <c r="C117" s="57"/>
      <c r="D117" s="56">
        <v>37</v>
      </c>
      <c r="E117" s="58"/>
      <c r="F117" s="37" t="s">
        <v>81</v>
      </c>
      <c r="G117" s="46">
        <f>11418348/D117/12</f>
        <v>25717</v>
      </c>
      <c r="H117" s="49">
        <f t="shared" si="1"/>
        <v>25717</v>
      </c>
    </row>
    <row r="118" spans="2:8" ht="15">
      <c r="B118" s="56" t="s">
        <v>233</v>
      </c>
      <c r="C118" s="57"/>
      <c r="D118" s="56">
        <v>5</v>
      </c>
      <c r="E118" s="58"/>
      <c r="F118" s="37" t="s">
        <v>81</v>
      </c>
      <c r="G118" s="46">
        <f>1543020/D118/12</f>
        <v>25717</v>
      </c>
      <c r="H118" s="49">
        <f t="shared" si="1"/>
        <v>25717</v>
      </c>
    </row>
    <row r="119" spans="2:8" ht="15">
      <c r="B119" s="56" t="s">
        <v>150</v>
      </c>
      <c r="C119" s="57"/>
      <c r="D119" s="56">
        <v>8</v>
      </c>
      <c r="E119" s="58"/>
      <c r="F119" s="37" t="s">
        <v>81</v>
      </c>
      <c r="G119" s="46">
        <f>2468832/D119/12</f>
        <v>25717</v>
      </c>
      <c r="H119" s="49">
        <f t="shared" si="1"/>
        <v>25717</v>
      </c>
    </row>
    <row r="120" spans="2:8" ht="15">
      <c r="B120" s="56" t="s">
        <v>151</v>
      </c>
      <c r="C120" s="57"/>
      <c r="D120" s="56">
        <v>19</v>
      </c>
      <c r="E120" s="58"/>
      <c r="F120" s="37" t="s">
        <v>81</v>
      </c>
      <c r="G120" s="46">
        <f>5863476/D120/12</f>
        <v>25717</v>
      </c>
      <c r="H120" s="49">
        <f t="shared" si="1"/>
        <v>25717</v>
      </c>
    </row>
    <row r="121" spans="2:8" ht="15">
      <c r="B121" s="56" t="s">
        <v>152</v>
      </c>
      <c r="C121" s="57"/>
      <c r="D121" s="56">
        <v>10</v>
      </c>
      <c r="E121" s="58"/>
      <c r="F121" s="37" t="s">
        <v>81</v>
      </c>
      <c r="G121" s="46">
        <f>2719920/D121/12</f>
        <v>22666</v>
      </c>
      <c r="H121" s="49">
        <f t="shared" si="1"/>
        <v>22666</v>
      </c>
    </row>
    <row r="122" spans="2:8" ht="15">
      <c r="B122" s="56" t="s">
        <v>234</v>
      </c>
      <c r="C122" s="57"/>
      <c r="D122" s="56">
        <v>90</v>
      </c>
      <c r="E122" s="58"/>
      <c r="F122" s="37" t="s">
        <v>81</v>
      </c>
      <c r="G122" s="46">
        <f>27659880/D122/12</f>
        <v>25611</v>
      </c>
      <c r="H122" s="49">
        <f t="shared" si="1"/>
        <v>25611</v>
      </c>
    </row>
    <row r="123" spans="2:8" ht="15">
      <c r="B123" s="56" t="s">
        <v>153</v>
      </c>
      <c r="C123" s="57"/>
      <c r="D123" s="56">
        <v>21</v>
      </c>
      <c r="E123" s="58"/>
      <c r="F123" s="37" t="s">
        <v>81</v>
      </c>
      <c r="G123" s="46">
        <f>5711832/D123/12</f>
        <v>22666</v>
      </c>
      <c r="H123" s="49">
        <f t="shared" si="1"/>
        <v>22666</v>
      </c>
    </row>
    <row r="124" spans="2:8" ht="15">
      <c r="B124" s="56" t="s">
        <v>235</v>
      </c>
      <c r="C124" s="57"/>
      <c r="D124" s="56">
        <v>77</v>
      </c>
      <c r="E124" s="58"/>
      <c r="F124" s="37" t="s">
        <v>81</v>
      </c>
      <c r="G124" s="46">
        <f>23664564/D124/12</f>
        <v>25611</v>
      </c>
      <c r="H124" s="49">
        <f t="shared" si="1"/>
        <v>25611</v>
      </c>
    </row>
    <row r="125" spans="2:8" ht="15">
      <c r="B125" s="56" t="s">
        <v>236</v>
      </c>
      <c r="C125" s="57"/>
      <c r="D125" s="56">
        <v>15</v>
      </c>
      <c r="E125" s="58"/>
      <c r="F125" s="37" t="s">
        <v>81</v>
      </c>
      <c r="G125" s="46">
        <f>4609980/D125/12</f>
        <v>25611</v>
      </c>
      <c r="H125" s="49">
        <f t="shared" si="1"/>
        <v>25611</v>
      </c>
    </row>
    <row r="126" spans="2:8" ht="15">
      <c r="B126" s="56" t="s">
        <v>322</v>
      </c>
      <c r="C126" s="57"/>
      <c r="D126" s="56">
        <v>57</v>
      </c>
      <c r="E126" s="58"/>
      <c r="F126" s="42" t="s">
        <v>81</v>
      </c>
      <c r="G126" s="46">
        <f>17517924/D126/12</f>
        <v>25611</v>
      </c>
      <c r="H126" s="49">
        <f t="shared" si="1"/>
        <v>25611</v>
      </c>
    </row>
    <row r="127" spans="2:8" ht="15">
      <c r="B127" s="56" t="s">
        <v>154</v>
      </c>
      <c r="C127" s="57"/>
      <c r="D127" s="56">
        <v>3</v>
      </c>
      <c r="E127" s="58"/>
      <c r="F127" s="37" t="s">
        <v>81</v>
      </c>
      <c r="G127" s="46">
        <f>991800/D127/12</f>
        <v>27550</v>
      </c>
      <c r="H127" s="49">
        <f t="shared" si="1"/>
        <v>27550</v>
      </c>
    </row>
    <row r="128" spans="2:8" ht="15">
      <c r="B128" s="56" t="s">
        <v>155</v>
      </c>
      <c r="C128" s="57"/>
      <c r="D128" s="56">
        <v>76</v>
      </c>
      <c r="E128" s="58"/>
      <c r="F128" s="37" t="s">
        <v>81</v>
      </c>
      <c r="G128" s="46">
        <f>25125600/D128/12</f>
        <v>27550</v>
      </c>
      <c r="H128" s="49">
        <f t="shared" si="1"/>
        <v>27550</v>
      </c>
    </row>
    <row r="129" spans="2:8" ht="15">
      <c r="B129" s="56" t="s">
        <v>156</v>
      </c>
      <c r="C129" s="57"/>
      <c r="D129" s="56">
        <v>375</v>
      </c>
      <c r="E129" s="58"/>
      <c r="F129" s="37" t="s">
        <v>81</v>
      </c>
      <c r="G129" s="46">
        <f>123975000/D129/12</f>
        <v>27550</v>
      </c>
      <c r="H129" s="49">
        <f t="shared" si="1"/>
        <v>27550</v>
      </c>
    </row>
    <row r="130" spans="2:8" ht="15">
      <c r="B130" s="56" t="s">
        <v>157</v>
      </c>
      <c r="C130" s="57"/>
      <c r="D130" s="56">
        <v>17</v>
      </c>
      <c r="E130" s="58"/>
      <c r="F130" s="37" t="s">
        <v>81</v>
      </c>
      <c r="G130" s="46">
        <f>5620200/D130/12</f>
        <v>27550</v>
      </c>
      <c r="H130" s="49">
        <f t="shared" si="1"/>
        <v>27550</v>
      </c>
    </row>
    <row r="131" spans="2:8" ht="15">
      <c r="B131" s="56" t="s">
        <v>158</v>
      </c>
      <c r="C131" s="57"/>
      <c r="D131" s="56">
        <v>23</v>
      </c>
      <c r="E131" s="58"/>
      <c r="F131" s="37" t="s">
        <v>81</v>
      </c>
      <c r="G131" s="46">
        <f>7603800/D131/12</f>
        <v>27550</v>
      </c>
      <c r="H131" s="49">
        <f t="shared" si="1"/>
        <v>27550</v>
      </c>
    </row>
    <row r="132" spans="2:8" ht="15">
      <c r="B132" s="56" t="s">
        <v>159</v>
      </c>
      <c r="C132" s="57"/>
      <c r="D132" s="56">
        <v>3</v>
      </c>
      <c r="E132" s="58"/>
      <c r="F132" s="37" t="s">
        <v>81</v>
      </c>
      <c r="G132" s="46">
        <f>991800/D132/12</f>
        <v>27550</v>
      </c>
      <c r="H132" s="49">
        <f t="shared" si="1"/>
        <v>27550</v>
      </c>
    </row>
    <row r="133" spans="2:8" ht="15">
      <c r="B133" s="56" t="s">
        <v>160</v>
      </c>
      <c r="C133" s="57"/>
      <c r="D133" s="56">
        <v>1</v>
      </c>
      <c r="E133" s="58"/>
      <c r="F133" s="37" t="s">
        <v>81</v>
      </c>
      <c r="G133" s="46">
        <f>330600/D133/12</f>
        <v>27550</v>
      </c>
      <c r="H133" s="49">
        <f t="shared" si="1"/>
        <v>27550</v>
      </c>
    </row>
    <row r="134" spans="2:8" ht="15">
      <c r="B134" s="56" t="s">
        <v>161</v>
      </c>
      <c r="C134" s="57"/>
      <c r="D134" s="56">
        <v>22</v>
      </c>
      <c r="E134" s="58"/>
      <c r="F134" s="37" t="s">
        <v>81</v>
      </c>
      <c r="G134" s="46">
        <f>7273200/D134/12</f>
        <v>27550</v>
      </c>
      <c r="H134" s="49">
        <f t="shared" si="1"/>
        <v>27550</v>
      </c>
    </row>
    <row r="135" spans="2:8" ht="15">
      <c r="B135" s="56" t="s">
        <v>162</v>
      </c>
      <c r="C135" s="57"/>
      <c r="D135" s="56">
        <v>16</v>
      </c>
      <c r="E135" s="58"/>
      <c r="F135" s="37" t="s">
        <v>81</v>
      </c>
      <c r="G135" s="46">
        <f>4662144/D135/12</f>
        <v>24282</v>
      </c>
      <c r="H135" s="49">
        <f t="shared" si="1"/>
        <v>24282</v>
      </c>
    </row>
    <row r="136" spans="2:8" ht="15">
      <c r="B136" s="56" t="s">
        <v>237</v>
      </c>
      <c r="C136" s="57"/>
      <c r="D136" s="56">
        <v>54</v>
      </c>
      <c r="E136" s="58"/>
      <c r="F136" s="37" t="s">
        <v>81</v>
      </c>
      <c r="G136" s="46">
        <f>17826480/D136/12</f>
        <v>27510</v>
      </c>
      <c r="H136" s="49">
        <f t="shared" si="1"/>
        <v>27510</v>
      </c>
    </row>
    <row r="137" spans="2:8" ht="15">
      <c r="B137" s="56" t="s">
        <v>139</v>
      </c>
      <c r="C137" s="57"/>
      <c r="D137" s="56">
        <v>1</v>
      </c>
      <c r="E137" s="58"/>
      <c r="F137" s="37" t="s">
        <v>81</v>
      </c>
      <c r="G137" s="46">
        <f>291384/D137/12</f>
        <v>24282</v>
      </c>
      <c r="H137" s="49">
        <f t="shared" si="1"/>
        <v>24282</v>
      </c>
    </row>
    <row r="138" spans="2:8" ht="15">
      <c r="B138" s="56" t="s">
        <v>140</v>
      </c>
      <c r="C138" s="57"/>
      <c r="D138" s="56">
        <v>2</v>
      </c>
      <c r="E138" s="58"/>
      <c r="F138" s="37" t="s">
        <v>81</v>
      </c>
      <c r="G138" s="46">
        <f>582768/D138/12</f>
        <v>24282</v>
      </c>
      <c r="H138" s="49">
        <f t="shared" si="1"/>
        <v>24282</v>
      </c>
    </row>
    <row r="139" spans="2:8" ht="15">
      <c r="B139" s="56" t="s">
        <v>163</v>
      </c>
      <c r="C139" s="57"/>
      <c r="D139" s="56">
        <v>50</v>
      </c>
      <c r="E139" s="58"/>
      <c r="F139" s="37" t="s">
        <v>81</v>
      </c>
      <c r="G139" s="46">
        <f>16530000/D139/12</f>
        <v>27550</v>
      </c>
      <c r="H139" s="49">
        <f t="shared" si="1"/>
        <v>27550</v>
      </c>
    </row>
    <row r="140" spans="2:8" ht="15">
      <c r="B140" s="56" t="s">
        <v>209</v>
      </c>
      <c r="C140" s="57"/>
      <c r="D140" s="56">
        <v>70</v>
      </c>
      <c r="E140" s="58"/>
      <c r="F140" s="37" t="s">
        <v>81</v>
      </c>
      <c r="G140" s="46">
        <f>23108400/D140/12</f>
        <v>27510</v>
      </c>
      <c r="H140" s="49">
        <f t="shared" si="1"/>
        <v>27510</v>
      </c>
    </row>
    <row r="141" spans="2:8" ht="15">
      <c r="B141" s="56" t="s">
        <v>164</v>
      </c>
      <c r="C141" s="57"/>
      <c r="D141" s="56">
        <v>1</v>
      </c>
      <c r="E141" s="58"/>
      <c r="F141" s="37" t="s">
        <v>81</v>
      </c>
      <c r="G141" s="46">
        <f>313500/D141/12</f>
        <v>26125</v>
      </c>
      <c r="H141" s="49">
        <f t="shared" si="1"/>
        <v>26125</v>
      </c>
    </row>
    <row r="142" spans="2:8" ht="15">
      <c r="B142" s="56" t="s">
        <v>165</v>
      </c>
      <c r="C142" s="57"/>
      <c r="D142" s="56">
        <v>45</v>
      </c>
      <c r="E142" s="58"/>
      <c r="F142" s="37" t="s">
        <v>81</v>
      </c>
      <c r="G142" s="46">
        <f>16006140/D142/12</f>
        <v>29641</v>
      </c>
      <c r="H142" s="49">
        <f t="shared" si="1"/>
        <v>29641</v>
      </c>
    </row>
    <row r="143" spans="2:8" ht="15">
      <c r="B143" s="56" t="s">
        <v>166</v>
      </c>
      <c r="C143" s="57"/>
      <c r="D143" s="56">
        <v>11</v>
      </c>
      <c r="E143" s="58"/>
      <c r="F143" s="37" t="s">
        <v>81</v>
      </c>
      <c r="G143" s="46">
        <f>3912612/D143/12</f>
        <v>29641</v>
      </c>
      <c r="H143" s="49">
        <f t="shared" si="1"/>
        <v>29641</v>
      </c>
    </row>
    <row r="144" spans="2:8" ht="15">
      <c r="B144" s="56" t="s">
        <v>323</v>
      </c>
      <c r="C144" s="57"/>
      <c r="D144" s="56">
        <v>2</v>
      </c>
      <c r="E144" s="58"/>
      <c r="F144" s="42" t="s">
        <v>81</v>
      </c>
      <c r="G144" s="46">
        <f>706224/D144/12</f>
        <v>29426</v>
      </c>
      <c r="H144" s="49">
        <f t="shared" si="1"/>
        <v>29426</v>
      </c>
    </row>
    <row r="145" spans="2:8" ht="15">
      <c r="B145" s="56" t="s">
        <v>238</v>
      </c>
      <c r="C145" s="57"/>
      <c r="D145" s="56">
        <v>1</v>
      </c>
      <c r="E145" s="58"/>
      <c r="F145" s="37" t="s">
        <v>81</v>
      </c>
      <c r="G145" s="46">
        <f>353112/D145/12</f>
        <v>29426</v>
      </c>
      <c r="H145" s="49">
        <f t="shared" si="1"/>
        <v>29426</v>
      </c>
    </row>
    <row r="146" spans="2:8" ht="15">
      <c r="B146" s="56" t="s">
        <v>239</v>
      </c>
      <c r="C146" s="57"/>
      <c r="D146" s="56">
        <v>31</v>
      </c>
      <c r="E146" s="58"/>
      <c r="F146" s="37" t="s">
        <v>81</v>
      </c>
      <c r="G146" s="46">
        <f>10946472/D146/12</f>
        <v>29426</v>
      </c>
      <c r="H146" s="49">
        <f t="shared" si="1"/>
        <v>29426</v>
      </c>
    </row>
    <row r="147" spans="2:8" ht="15">
      <c r="B147" s="56" t="s">
        <v>210</v>
      </c>
      <c r="C147" s="57"/>
      <c r="D147" s="56">
        <v>66</v>
      </c>
      <c r="E147" s="58"/>
      <c r="F147" s="37" t="s">
        <v>81</v>
      </c>
      <c r="G147" s="46">
        <f>23305392/D147/12</f>
        <v>29426</v>
      </c>
      <c r="H147" s="49">
        <f aca="true" t="shared" si="2" ref="H147:H192">+G147</f>
        <v>29426</v>
      </c>
    </row>
    <row r="148" spans="2:8" ht="15">
      <c r="B148" s="56" t="s">
        <v>324</v>
      </c>
      <c r="C148" s="57"/>
      <c r="D148" s="56">
        <v>3</v>
      </c>
      <c r="E148" s="58"/>
      <c r="F148" s="42" t="s">
        <v>81</v>
      </c>
      <c r="G148" s="46">
        <f>1059336/D148/12</f>
        <v>29426</v>
      </c>
      <c r="H148" s="49">
        <f t="shared" si="2"/>
        <v>29426</v>
      </c>
    </row>
    <row r="149" spans="2:8" ht="15">
      <c r="B149" s="56" t="s">
        <v>240</v>
      </c>
      <c r="C149" s="57"/>
      <c r="D149" s="56">
        <v>2</v>
      </c>
      <c r="E149" s="58"/>
      <c r="F149" s="37" t="s">
        <v>81</v>
      </c>
      <c r="G149" s="46">
        <f>706224/D149/12</f>
        <v>29426</v>
      </c>
      <c r="H149" s="49">
        <f t="shared" si="2"/>
        <v>29426</v>
      </c>
    </row>
    <row r="150" spans="2:8" ht="15">
      <c r="B150" s="56" t="s">
        <v>241</v>
      </c>
      <c r="C150" s="57"/>
      <c r="D150" s="56">
        <v>1</v>
      </c>
      <c r="E150" s="58"/>
      <c r="F150" s="37" t="s">
        <v>81</v>
      </c>
      <c r="G150" s="46">
        <f>353112/D150/12</f>
        <v>29426</v>
      </c>
      <c r="H150" s="49">
        <f t="shared" si="2"/>
        <v>29426</v>
      </c>
    </row>
    <row r="151" spans="2:8" ht="15">
      <c r="B151" s="56" t="s">
        <v>242</v>
      </c>
      <c r="C151" s="57"/>
      <c r="D151" s="56">
        <v>1</v>
      </c>
      <c r="E151" s="58"/>
      <c r="F151" s="37" t="s">
        <v>81</v>
      </c>
      <c r="G151" s="46">
        <f>353112/D151/12</f>
        <v>29426</v>
      </c>
      <c r="H151" s="49">
        <f t="shared" si="2"/>
        <v>29426</v>
      </c>
    </row>
    <row r="152" spans="2:8" ht="15">
      <c r="B152" s="56" t="s">
        <v>243</v>
      </c>
      <c r="C152" s="57"/>
      <c r="D152" s="56">
        <v>1</v>
      </c>
      <c r="E152" s="58"/>
      <c r="F152" s="37" t="s">
        <v>81</v>
      </c>
      <c r="G152" s="46">
        <f>353112/D152/12</f>
        <v>29426</v>
      </c>
      <c r="H152" s="49">
        <f t="shared" si="2"/>
        <v>29426</v>
      </c>
    </row>
    <row r="153" spans="2:8" ht="15">
      <c r="B153" s="56" t="s">
        <v>305</v>
      </c>
      <c r="C153" s="57"/>
      <c r="D153" s="56">
        <v>1</v>
      </c>
      <c r="E153" s="58"/>
      <c r="F153" s="37" t="s">
        <v>81</v>
      </c>
      <c r="G153" s="46">
        <f>353112/D153/12</f>
        <v>29426</v>
      </c>
      <c r="H153" s="49">
        <f t="shared" si="2"/>
        <v>29426</v>
      </c>
    </row>
    <row r="154" spans="2:8" ht="15">
      <c r="B154" s="56" t="s">
        <v>306</v>
      </c>
      <c r="C154" s="57"/>
      <c r="D154" s="56">
        <v>1</v>
      </c>
      <c r="E154" s="58"/>
      <c r="F154" s="37" t="s">
        <v>81</v>
      </c>
      <c r="G154" s="46">
        <f>353112/D154/12</f>
        <v>29426</v>
      </c>
      <c r="H154" s="49">
        <f t="shared" si="2"/>
        <v>29426</v>
      </c>
    </row>
    <row r="155" spans="2:8" ht="15">
      <c r="B155" s="56" t="s">
        <v>325</v>
      </c>
      <c r="C155" s="57"/>
      <c r="D155" s="56">
        <v>2</v>
      </c>
      <c r="E155" s="58"/>
      <c r="F155" s="42" t="s">
        <v>81</v>
      </c>
      <c r="G155" s="46">
        <f>760560/D155/12</f>
        <v>31690</v>
      </c>
      <c r="H155" s="49">
        <f t="shared" si="2"/>
        <v>31690</v>
      </c>
    </row>
    <row r="156" spans="2:8" ht="15">
      <c r="B156" s="56" t="s">
        <v>167</v>
      </c>
      <c r="C156" s="57"/>
      <c r="D156" s="56">
        <v>3</v>
      </c>
      <c r="E156" s="58"/>
      <c r="F156" s="37" t="s">
        <v>81</v>
      </c>
      <c r="G156" s="46">
        <f>1140840/D156/12</f>
        <v>31690</v>
      </c>
      <c r="H156" s="49">
        <f t="shared" si="2"/>
        <v>31690</v>
      </c>
    </row>
    <row r="157" spans="2:8" ht="15">
      <c r="B157" s="56" t="s">
        <v>168</v>
      </c>
      <c r="C157" s="57"/>
      <c r="D157" s="56">
        <v>209</v>
      </c>
      <c r="E157" s="58"/>
      <c r="F157" s="37" t="s">
        <v>81</v>
      </c>
      <c r="G157" s="46">
        <f>79478520/D157/12</f>
        <v>31690</v>
      </c>
      <c r="H157" s="49">
        <f t="shared" si="2"/>
        <v>31690</v>
      </c>
    </row>
    <row r="158" spans="2:8" ht="15">
      <c r="B158" s="56" t="s">
        <v>169</v>
      </c>
      <c r="C158" s="57"/>
      <c r="D158" s="56">
        <v>5</v>
      </c>
      <c r="E158" s="58"/>
      <c r="F158" s="37" t="s">
        <v>81</v>
      </c>
      <c r="G158" s="46">
        <f>1901400/D158/12</f>
        <v>31690</v>
      </c>
      <c r="H158" s="49">
        <f t="shared" si="2"/>
        <v>31690</v>
      </c>
    </row>
    <row r="159" spans="2:8" ht="15">
      <c r="B159" s="56" t="s">
        <v>170</v>
      </c>
      <c r="C159" s="57"/>
      <c r="D159" s="56">
        <v>95</v>
      </c>
      <c r="E159" s="58"/>
      <c r="F159" s="37" t="s">
        <v>81</v>
      </c>
      <c r="G159" s="46">
        <f>36126600/D159/12</f>
        <v>31690</v>
      </c>
      <c r="H159" s="49">
        <f t="shared" si="2"/>
        <v>31690</v>
      </c>
    </row>
    <row r="160" spans="2:8" ht="15">
      <c r="B160" s="56" t="s">
        <v>171</v>
      </c>
      <c r="C160" s="57"/>
      <c r="D160" s="56">
        <v>1</v>
      </c>
      <c r="E160" s="58"/>
      <c r="F160" s="37" t="s">
        <v>81</v>
      </c>
      <c r="G160" s="46">
        <f>335160/D160/12</f>
        <v>27930</v>
      </c>
      <c r="H160" s="49">
        <f t="shared" si="2"/>
        <v>27930</v>
      </c>
    </row>
    <row r="161" spans="2:8" ht="15">
      <c r="B161" s="56" t="s">
        <v>244</v>
      </c>
      <c r="C161" s="57"/>
      <c r="D161" s="56">
        <v>1</v>
      </c>
      <c r="E161" s="58"/>
      <c r="F161" s="37" t="s">
        <v>81</v>
      </c>
      <c r="G161" s="46">
        <f>335160/D161/12</f>
        <v>27930</v>
      </c>
      <c r="H161" s="49">
        <f t="shared" si="2"/>
        <v>27930</v>
      </c>
    </row>
    <row r="162" spans="2:8" ht="15">
      <c r="B162" s="56" t="s">
        <v>245</v>
      </c>
      <c r="C162" s="57"/>
      <c r="D162" s="56">
        <v>11</v>
      </c>
      <c r="E162" s="58"/>
      <c r="F162" s="37" t="s">
        <v>81</v>
      </c>
      <c r="G162" s="46">
        <f>4163808/D162/12</f>
        <v>31544</v>
      </c>
      <c r="H162" s="49">
        <f t="shared" si="2"/>
        <v>31544</v>
      </c>
    </row>
    <row r="163" spans="2:8" ht="15">
      <c r="B163" s="56" t="s">
        <v>211</v>
      </c>
      <c r="C163" s="57"/>
      <c r="D163" s="56">
        <v>10</v>
      </c>
      <c r="E163" s="58"/>
      <c r="F163" s="37" t="s">
        <v>81</v>
      </c>
      <c r="G163" s="46">
        <f>3785280/D163/12</f>
        <v>31544</v>
      </c>
      <c r="H163" s="49">
        <f t="shared" si="2"/>
        <v>31544</v>
      </c>
    </row>
    <row r="164" spans="2:8" ht="15">
      <c r="B164" s="56" t="s">
        <v>246</v>
      </c>
      <c r="C164" s="57"/>
      <c r="D164" s="56">
        <v>6</v>
      </c>
      <c r="E164" s="58"/>
      <c r="F164" s="37" t="s">
        <v>81</v>
      </c>
      <c r="G164" s="46">
        <f>2271168/D164/12</f>
        <v>31544</v>
      </c>
      <c r="H164" s="49">
        <f t="shared" si="2"/>
        <v>31544</v>
      </c>
    </row>
    <row r="165" spans="2:8" ht="15">
      <c r="B165" s="56" t="s">
        <v>326</v>
      </c>
      <c r="C165" s="57"/>
      <c r="D165" s="56">
        <v>5</v>
      </c>
      <c r="E165" s="58"/>
      <c r="F165" s="42" t="s">
        <v>81</v>
      </c>
      <c r="G165" s="46">
        <f>1892640/D165/12</f>
        <v>31544</v>
      </c>
      <c r="H165" s="49">
        <f t="shared" si="2"/>
        <v>31544</v>
      </c>
    </row>
    <row r="166" spans="2:8" ht="15">
      <c r="B166" s="56" t="s">
        <v>327</v>
      </c>
      <c r="C166" s="57"/>
      <c r="D166" s="56">
        <v>3</v>
      </c>
      <c r="E166" s="58"/>
      <c r="F166" s="42" t="s">
        <v>81</v>
      </c>
      <c r="G166" s="46">
        <f>1135584/D166/12</f>
        <v>31544</v>
      </c>
      <c r="H166" s="49">
        <f t="shared" si="2"/>
        <v>31544</v>
      </c>
    </row>
    <row r="167" spans="2:8" ht="15">
      <c r="B167" s="56" t="s">
        <v>328</v>
      </c>
      <c r="C167" s="57"/>
      <c r="D167" s="56">
        <v>3</v>
      </c>
      <c r="E167" s="58"/>
      <c r="F167" s="42" t="s">
        <v>81</v>
      </c>
      <c r="G167" s="46">
        <f>1135584/D167/12</f>
        <v>31544</v>
      </c>
      <c r="H167" s="49">
        <f t="shared" si="2"/>
        <v>31544</v>
      </c>
    </row>
    <row r="168" spans="2:8" ht="15">
      <c r="B168" s="56" t="s">
        <v>172</v>
      </c>
      <c r="C168" s="57"/>
      <c r="D168" s="56">
        <v>30</v>
      </c>
      <c r="E168" s="58"/>
      <c r="F168" s="37" t="s">
        <v>81</v>
      </c>
      <c r="G168" s="46">
        <f>12271680/D168/12</f>
        <v>34088</v>
      </c>
      <c r="H168" s="49">
        <f t="shared" si="2"/>
        <v>34088</v>
      </c>
    </row>
    <row r="169" spans="2:8" ht="15">
      <c r="B169" s="56" t="s">
        <v>173</v>
      </c>
      <c r="C169" s="57"/>
      <c r="D169" s="56">
        <v>11</v>
      </c>
      <c r="E169" s="58"/>
      <c r="F169" s="37" t="s">
        <v>81</v>
      </c>
      <c r="G169" s="46">
        <f>4499616/D169/12</f>
        <v>34088</v>
      </c>
      <c r="H169" s="49">
        <f t="shared" si="2"/>
        <v>34088</v>
      </c>
    </row>
    <row r="170" spans="2:8" ht="15">
      <c r="B170" s="56" t="s">
        <v>174</v>
      </c>
      <c r="C170" s="57"/>
      <c r="D170" s="56">
        <v>4</v>
      </c>
      <c r="E170" s="58"/>
      <c r="F170" s="37" t="s">
        <v>81</v>
      </c>
      <c r="G170" s="46">
        <f>1442112/D170/12</f>
        <v>30044</v>
      </c>
      <c r="H170" s="49">
        <f t="shared" si="2"/>
        <v>30044</v>
      </c>
    </row>
    <row r="171" spans="2:8" ht="15">
      <c r="B171" s="56" t="s">
        <v>175</v>
      </c>
      <c r="C171" s="57"/>
      <c r="D171" s="56">
        <v>1</v>
      </c>
      <c r="E171" s="58"/>
      <c r="F171" s="37" t="s">
        <v>81</v>
      </c>
      <c r="G171" s="46">
        <f>409056/D171/12</f>
        <v>34088</v>
      </c>
      <c r="H171" s="49">
        <f t="shared" si="2"/>
        <v>34088</v>
      </c>
    </row>
    <row r="172" spans="2:8" ht="15">
      <c r="B172" s="56" t="s">
        <v>176</v>
      </c>
      <c r="C172" s="57"/>
      <c r="D172" s="56">
        <v>426</v>
      </c>
      <c r="E172" s="58"/>
      <c r="F172" s="37" t="s">
        <v>81</v>
      </c>
      <c r="G172" s="46">
        <f>174257856/D172/12</f>
        <v>34088</v>
      </c>
      <c r="H172" s="49">
        <f t="shared" si="2"/>
        <v>34088</v>
      </c>
    </row>
    <row r="173" spans="2:8" ht="15">
      <c r="B173" s="56" t="s">
        <v>177</v>
      </c>
      <c r="C173" s="57"/>
      <c r="D173" s="56">
        <v>1</v>
      </c>
      <c r="E173" s="58"/>
      <c r="F173" s="37" t="s">
        <v>81</v>
      </c>
      <c r="G173" s="46">
        <f>409056/D173/12</f>
        <v>34088</v>
      </c>
      <c r="H173" s="49">
        <f t="shared" si="2"/>
        <v>34088</v>
      </c>
    </row>
    <row r="174" spans="2:8" ht="15">
      <c r="B174" s="56" t="s">
        <v>212</v>
      </c>
      <c r="C174" s="57"/>
      <c r="D174" s="56">
        <v>9</v>
      </c>
      <c r="E174" s="58"/>
      <c r="F174" s="37" t="s">
        <v>81</v>
      </c>
      <c r="G174" s="46">
        <f>3648024/D174/12</f>
        <v>33778</v>
      </c>
      <c r="H174" s="49">
        <f t="shared" si="2"/>
        <v>33778</v>
      </c>
    </row>
    <row r="175" spans="2:8" ht="15">
      <c r="B175" s="56" t="s">
        <v>178</v>
      </c>
      <c r="C175" s="57"/>
      <c r="D175" s="56">
        <v>11</v>
      </c>
      <c r="E175" s="58"/>
      <c r="F175" s="37" t="s">
        <v>81</v>
      </c>
      <c r="G175" s="46">
        <f>3965808/D175/12</f>
        <v>30044</v>
      </c>
      <c r="H175" s="49">
        <f t="shared" si="2"/>
        <v>30044</v>
      </c>
    </row>
    <row r="176" spans="2:8" ht="15">
      <c r="B176" s="56" t="s">
        <v>179</v>
      </c>
      <c r="C176" s="57"/>
      <c r="D176" s="56">
        <v>21</v>
      </c>
      <c r="E176" s="58"/>
      <c r="F176" s="37" t="s">
        <v>81</v>
      </c>
      <c r="G176" s="46">
        <f>7571088/D176/12</f>
        <v>30044</v>
      </c>
      <c r="H176" s="49">
        <f t="shared" si="2"/>
        <v>30044</v>
      </c>
    </row>
    <row r="177" spans="2:8" ht="15">
      <c r="B177" s="56" t="s">
        <v>180</v>
      </c>
      <c r="C177" s="57"/>
      <c r="D177" s="56">
        <v>2</v>
      </c>
      <c r="E177" s="58"/>
      <c r="F177" s="37" t="s">
        <v>81</v>
      </c>
      <c r="G177" s="46">
        <f>721056/D177/12</f>
        <v>30044</v>
      </c>
      <c r="H177" s="49">
        <f t="shared" si="2"/>
        <v>30044</v>
      </c>
    </row>
    <row r="178" spans="2:8" ht="15">
      <c r="B178" s="56" t="s">
        <v>247</v>
      </c>
      <c r="C178" s="57"/>
      <c r="D178" s="56">
        <v>10</v>
      </c>
      <c r="E178" s="58"/>
      <c r="F178" s="37" t="s">
        <v>81</v>
      </c>
      <c r="G178" s="46">
        <f>4053360/D178/12</f>
        <v>33778</v>
      </c>
      <c r="H178" s="49">
        <f t="shared" si="2"/>
        <v>33778</v>
      </c>
    </row>
    <row r="179" spans="2:8" ht="15">
      <c r="B179" s="56" t="s">
        <v>330</v>
      </c>
      <c r="C179" s="57"/>
      <c r="D179" s="56">
        <v>1</v>
      </c>
      <c r="E179" s="58"/>
      <c r="F179" s="42" t="s">
        <v>81</v>
      </c>
      <c r="G179" s="46">
        <f>405336/D179/12</f>
        <v>33778</v>
      </c>
      <c r="H179" s="49">
        <f t="shared" si="2"/>
        <v>33778</v>
      </c>
    </row>
    <row r="180" spans="2:8" ht="15">
      <c r="B180" s="56" t="s">
        <v>181</v>
      </c>
      <c r="C180" s="57"/>
      <c r="D180" s="56">
        <v>3</v>
      </c>
      <c r="E180" s="58"/>
      <c r="F180" s="37" t="s">
        <v>81</v>
      </c>
      <c r="G180" s="46">
        <f>1227168/D180/12</f>
        <v>34088</v>
      </c>
      <c r="H180" s="49">
        <f t="shared" si="2"/>
        <v>34088</v>
      </c>
    </row>
    <row r="181" spans="2:8" ht="15">
      <c r="B181" s="56" t="s">
        <v>329</v>
      </c>
      <c r="C181" s="57"/>
      <c r="D181" s="56">
        <v>10</v>
      </c>
      <c r="E181" s="58"/>
      <c r="F181" s="42" t="s">
        <v>81</v>
      </c>
      <c r="G181" s="46">
        <f>4053360/D181/12</f>
        <v>33778</v>
      </c>
      <c r="H181" s="49">
        <f t="shared" si="2"/>
        <v>33778</v>
      </c>
    </row>
    <row r="182" spans="2:8" ht="15">
      <c r="B182" s="56" t="s">
        <v>331</v>
      </c>
      <c r="C182" s="57"/>
      <c r="D182" s="56">
        <v>2</v>
      </c>
      <c r="E182" s="58"/>
      <c r="F182" s="42" t="s">
        <v>81</v>
      </c>
      <c r="G182" s="46">
        <f>810672/D182/12</f>
        <v>33778</v>
      </c>
      <c r="H182" s="49">
        <f t="shared" si="2"/>
        <v>33778</v>
      </c>
    </row>
    <row r="183" spans="2:8" ht="15">
      <c r="B183" s="56" t="s">
        <v>248</v>
      </c>
      <c r="C183" s="57"/>
      <c r="D183" s="56">
        <v>3</v>
      </c>
      <c r="E183" s="58"/>
      <c r="F183" s="37" t="s">
        <v>81</v>
      </c>
      <c r="G183" s="46">
        <f>1216008/D183/12</f>
        <v>33778</v>
      </c>
      <c r="H183" s="49">
        <f t="shared" si="2"/>
        <v>33778</v>
      </c>
    </row>
    <row r="184" spans="2:8" ht="15">
      <c r="B184" s="56" t="s">
        <v>332</v>
      </c>
      <c r="C184" s="57"/>
      <c r="D184" s="56">
        <v>1</v>
      </c>
      <c r="E184" s="58"/>
      <c r="F184" s="42" t="s">
        <v>81</v>
      </c>
      <c r="G184" s="46">
        <f>409056/D184/12</f>
        <v>34088</v>
      </c>
      <c r="H184" s="49">
        <f t="shared" si="2"/>
        <v>34088</v>
      </c>
    </row>
    <row r="185" spans="2:8" ht="15">
      <c r="B185" s="56" t="s">
        <v>160</v>
      </c>
      <c r="C185" s="57"/>
      <c r="D185" s="56">
        <v>55</v>
      </c>
      <c r="E185" s="58"/>
      <c r="F185" s="37" t="s">
        <v>81</v>
      </c>
      <c r="G185" s="46">
        <f>22498080/D185/12</f>
        <v>34088</v>
      </c>
      <c r="H185" s="49">
        <f t="shared" si="2"/>
        <v>34088</v>
      </c>
    </row>
    <row r="186" spans="2:8" ht="15">
      <c r="B186" s="56" t="s">
        <v>182</v>
      </c>
      <c r="C186" s="57"/>
      <c r="D186" s="56">
        <v>18</v>
      </c>
      <c r="E186" s="58"/>
      <c r="F186" s="37" t="s">
        <v>81</v>
      </c>
      <c r="G186" s="46">
        <f>7363008/D186/12</f>
        <v>34088</v>
      </c>
      <c r="H186" s="49">
        <f t="shared" si="2"/>
        <v>34088</v>
      </c>
    </row>
    <row r="187" spans="2:8" ht="15">
      <c r="B187" s="56" t="s">
        <v>183</v>
      </c>
      <c r="C187" s="57"/>
      <c r="D187" s="56">
        <v>5</v>
      </c>
      <c r="E187" s="58"/>
      <c r="F187" s="37" t="s">
        <v>81</v>
      </c>
      <c r="G187" s="46">
        <f>2045280/D187/12</f>
        <v>34088</v>
      </c>
      <c r="H187" s="49">
        <f t="shared" si="2"/>
        <v>34088</v>
      </c>
    </row>
    <row r="188" spans="2:8" ht="15">
      <c r="B188" s="56" t="s">
        <v>307</v>
      </c>
      <c r="C188" s="57"/>
      <c r="D188" s="56">
        <v>27</v>
      </c>
      <c r="E188" s="58"/>
      <c r="F188" s="37" t="s">
        <v>81</v>
      </c>
      <c r="G188" s="46">
        <f>10944072/D188/12</f>
        <v>33778</v>
      </c>
      <c r="H188" s="49">
        <f t="shared" si="2"/>
        <v>33778</v>
      </c>
    </row>
    <row r="189" spans="2:8" ht="15">
      <c r="B189" s="56" t="s">
        <v>184</v>
      </c>
      <c r="C189" s="57"/>
      <c r="D189" s="56">
        <v>111</v>
      </c>
      <c r="E189" s="58"/>
      <c r="F189" s="37" t="s">
        <v>81</v>
      </c>
      <c r="G189" s="46">
        <f>45405216/D189/12</f>
        <v>34088</v>
      </c>
      <c r="H189" s="49">
        <f t="shared" si="2"/>
        <v>34088</v>
      </c>
    </row>
    <row r="190" spans="2:8" ht="15">
      <c r="B190" s="56" t="s">
        <v>249</v>
      </c>
      <c r="C190" s="57"/>
      <c r="D190" s="56">
        <v>1</v>
      </c>
      <c r="E190" s="58"/>
      <c r="F190" s="37" t="s">
        <v>81</v>
      </c>
      <c r="G190" s="46">
        <f>405336/D190/12</f>
        <v>33778</v>
      </c>
      <c r="H190" s="49">
        <f t="shared" si="2"/>
        <v>33778</v>
      </c>
    </row>
    <row r="191" spans="2:8" ht="15">
      <c r="B191" s="56" t="s">
        <v>333</v>
      </c>
      <c r="C191" s="57"/>
      <c r="D191" s="56">
        <v>242</v>
      </c>
      <c r="E191" s="58"/>
      <c r="F191" s="42" t="s">
        <v>81</v>
      </c>
      <c r="G191" s="46">
        <f>101962344/D191/12</f>
        <v>35111</v>
      </c>
      <c r="H191" s="49">
        <f t="shared" si="2"/>
        <v>35111</v>
      </c>
    </row>
    <row r="192" spans="2:8" ht="15">
      <c r="B192" s="56" t="s">
        <v>334</v>
      </c>
      <c r="C192" s="57"/>
      <c r="D192" s="56">
        <v>55</v>
      </c>
      <c r="E192" s="58"/>
      <c r="F192" s="42" t="s">
        <v>81</v>
      </c>
      <c r="G192" s="46">
        <f>23173260/D192/12</f>
        <v>35111</v>
      </c>
      <c r="H192" s="49">
        <f t="shared" si="2"/>
        <v>35111</v>
      </c>
    </row>
    <row r="193" spans="2:8" ht="15">
      <c r="B193" s="56" t="s">
        <v>185</v>
      </c>
      <c r="C193" s="57"/>
      <c r="D193" s="62">
        <v>200</v>
      </c>
      <c r="E193" s="74"/>
      <c r="F193" s="62"/>
      <c r="G193" s="60"/>
      <c r="H193" s="60">
        <v>29835</v>
      </c>
    </row>
    <row r="194" spans="2:8" ht="15">
      <c r="B194" s="56" t="s">
        <v>186</v>
      </c>
      <c r="C194" s="57"/>
      <c r="D194" s="62"/>
      <c r="E194" s="74"/>
      <c r="F194" s="62"/>
      <c r="G194" s="60"/>
      <c r="H194" s="60"/>
    </row>
    <row r="195" spans="2:8" ht="15">
      <c r="B195" s="56" t="s">
        <v>187</v>
      </c>
      <c r="C195" s="57"/>
      <c r="D195" s="62"/>
      <c r="E195" s="74"/>
      <c r="F195" s="62"/>
      <c r="G195" s="60"/>
      <c r="H195" s="60"/>
    </row>
    <row r="196" spans="2:8" ht="15">
      <c r="B196" s="56" t="s">
        <v>188</v>
      </c>
      <c r="C196" s="57"/>
      <c r="D196" s="62"/>
      <c r="E196" s="74"/>
      <c r="F196" s="62"/>
      <c r="G196" s="60"/>
      <c r="H196" s="60"/>
    </row>
    <row r="197" spans="2:8" ht="15">
      <c r="B197" s="56" t="s">
        <v>189</v>
      </c>
      <c r="C197" s="57"/>
      <c r="D197" s="62"/>
      <c r="E197" s="74"/>
      <c r="F197" s="62"/>
      <c r="G197" s="60"/>
      <c r="H197" s="60"/>
    </row>
    <row r="198" spans="2:8" ht="15">
      <c r="B198" s="56" t="s">
        <v>250</v>
      </c>
      <c r="C198" s="57"/>
      <c r="D198" s="62"/>
      <c r="E198" s="74"/>
      <c r="F198" s="62"/>
      <c r="G198" s="60"/>
      <c r="H198" s="60"/>
    </row>
    <row r="199" spans="2:8" ht="15">
      <c r="B199" s="56" t="s">
        <v>190</v>
      </c>
      <c r="C199" s="57"/>
      <c r="D199" s="62"/>
      <c r="E199" s="74"/>
      <c r="F199" s="62"/>
      <c r="G199" s="60"/>
      <c r="H199" s="60"/>
    </row>
    <row r="200" spans="2:8" ht="15">
      <c r="B200" s="56" t="s">
        <v>191</v>
      </c>
      <c r="C200" s="57"/>
      <c r="D200" s="62">
        <v>195</v>
      </c>
      <c r="E200" s="74"/>
      <c r="F200" s="56"/>
      <c r="G200" s="61"/>
      <c r="H200" s="60">
        <v>32652.14</v>
      </c>
    </row>
    <row r="201" spans="2:8" ht="15">
      <c r="B201" s="56" t="s">
        <v>192</v>
      </c>
      <c r="C201" s="57"/>
      <c r="D201" s="62"/>
      <c r="E201" s="74"/>
      <c r="F201" s="56"/>
      <c r="G201" s="61"/>
      <c r="H201" s="60"/>
    </row>
    <row r="202" spans="2:8" ht="15">
      <c r="B202" s="56" t="s">
        <v>193</v>
      </c>
      <c r="C202" s="57"/>
      <c r="D202" s="62"/>
      <c r="E202" s="74"/>
      <c r="F202" s="56"/>
      <c r="G202" s="61"/>
      <c r="H202" s="60"/>
    </row>
    <row r="203" spans="2:8" ht="15">
      <c r="B203" s="56" t="s">
        <v>194</v>
      </c>
      <c r="C203" s="57"/>
      <c r="D203" s="62"/>
      <c r="E203" s="74"/>
      <c r="F203" s="56"/>
      <c r="G203" s="61"/>
      <c r="H203" s="60"/>
    </row>
    <row r="204" spans="2:8" ht="15">
      <c r="B204" s="56" t="s">
        <v>195</v>
      </c>
      <c r="C204" s="57"/>
      <c r="D204" s="62"/>
      <c r="E204" s="74"/>
      <c r="F204" s="56"/>
      <c r="G204" s="61"/>
      <c r="H204" s="60"/>
    </row>
    <row r="205" spans="2:8" ht="15">
      <c r="B205" s="56" t="s">
        <v>196</v>
      </c>
      <c r="C205" s="57"/>
      <c r="D205" s="62"/>
      <c r="E205" s="74"/>
      <c r="F205" s="56"/>
      <c r="G205" s="61"/>
      <c r="H205" s="60"/>
    </row>
    <row r="206" spans="2:8" ht="15">
      <c r="B206" s="56" t="s">
        <v>197</v>
      </c>
      <c r="C206" s="57"/>
      <c r="D206" s="62">
        <v>69</v>
      </c>
      <c r="E206" s="74"/>
      <c r="F206" s="59"/>
      <c r="G206" s="61"/>
      <c r="H206" s="60">
        <v>38573.38</v>
      </c>
    </row>
    <row r="207" spans="2:8" ht="15">
      <c r="B207" s="56" t="s">
        <v>198</v>
      </c>
      <c r="C207" s="57"/>
      <c r="D207" s="62"/>
      <c r="E207" s="74"/>
      <c r="F207" s="59"/>
      <c r="G207" s="61"/>
      <c r="H207" s="60"/>
    </row>
    <row r="208" spans="2:8" ht="15">
      <c r="B208" s="56" t="s">
        <v>199</v>
      </c>
      <c r="C208" s="57"/>
      <c r="D208" s="62"/>
      <c r="E208" s="74"/>
      <c r="F208" s="59"/>
      <c r="G208" s="61"/>
      <c r="H208" s="60"/>
    </row>
    <row r="209" spans="2:8" ht="15">
      <c r="B209" s="56" t="s">
        <v>200</v>
      </c>
      <c r="C209" s="57"/>
      <c r="D209" s="62"/>
      <c r="E209" s="74"/>
      <c r="F209" s="59"/>
      <c r="G209" s="61"/>
      <c r="H209" s="60"/>
    </row>
    <row r="210" spans="2:8" ht="15">
      <c r="B210" s="56" t="s">
        <v>201</v>
      </c>
      <c r="C210" s="57"/>
      <c r="D210" s="62"/>
      <c r="E210" s="74"/>
      <c r="F210" s="59"/>
      <c r="G210" s="61"/>
      <c r="H210" s="60"/>
    </row>
    <row r="211" spans="2:8" ht="15">
      <c r="B211" s="56" t="s">
        <v>202</v>
      </c>
      <c r="C211" s="57"/>
      <c r="D211" s="62">
        <v>11</v>
      </c>
      <c r="E211" s="74"/>
      <c r="F211" s="59"/>
      <c r="G211" s="61"/>
      <c r="H211" s="60">
        <v>38828.78</v>
      </c>
    </row>
    <row r="212" spans="2:8" ht="15">
      <c r="B212" s="56" t="s">
        <v>203</v>
      </c>
      <c r="C212" s="57"/>
      <c r="D212" s="62"/>
      <c r="E212" s="74"/>
      <c r="F212" s="59"/>
      <c r="G212" s="61"/>
      <c r="H212" s="60"/>
    </row>
    <row r="213" spans="2:8" ht="15">
      <c r="B213" s="56" t="s">
        <v>204</v>
      </c>
      <c r="C213" s="57"/>
      <c r="D213" s="62"/>
      <c r="E213" s="74"/>
      <c r="F213" s="59"/>
      <c r="G213" s="61"/>
      <c r="H213" s="60"/>
    </row>
    <row r="214" spans="2:8" ht="15">
      <c r="B214" s="56" t="s">
        <v>251</v>
      </c>
      <c r="C214" s="57"/>
      <c r="D214" s="62"/>
      <c r="E214" s="74"/>
      <c r="F214" s="59"/>
      <c r="G214" s="61"/>
      <c r="H214" s="60"/>
    </row>
    <row r="215" spans="2:8" ht="15">
      <c r="B215" s="56" t="s">
        <v>205</v>
      </c>
      <c r="C215" s="57"/>
      <c r="D215" s="62">
        <v>17</v>
      </c>
      <c r="E215" s="74"/>
      <c r="F215" s="59"/>
      <c r="G215" s="61"/>
      <c r="H215" s="60">
        <v>39084</v>
      </c>
    </row>
    <row r="216" spans="2:8" ht="15">
      <c r="B216" s="56" t="s">
        <v>206</v>
      </c>
      <c r="C216" s="57"/>
      <c r="D216" s="62"/>
      <c r="E216" s="74"/>
      <c r="F216" s="59"/>
      <c r="G216" s="61"/>
      <c r="H216" s="60"/>
    </row>
    <row r="217" spans="2:8" ht="15">
      <c r="B217" s="56" t="s">
        <v>207</v>
      </c>
      <c r="C217" s="57"/>
      <c r="D217" s="62"/>
      <c r="E217" s="74"/>
      <c r="F217" s="59"/>
      <c r="G217" s="61"/>
      <c r="H217" s="60"/>
    </row>
    <row r="218" spans="2:8" ht="15">
      <c r="B218" s="56" t="s">
        <v>208</v>
      </c>
      <c r="C218" s="57"/>
      <c r="D218" s="62"/>
      <c r="E218" s="74"/>
      <c r="F218" s="59"/>
      <c r="G218" s="61"/>
      <c r="H218" s="60"/>
    </row>
    <row r="219" spans="2:8" ht="15.75" thickBot="1">
      <c r="B219" s="68" t="s">
        <v>252</v>
      </c>
      <c r="C219" s="69"/>
      <c r="D219" s="68">
        <v>1</v>
      </c>
      <c r="E219" s="70"/>
      <c r="F219" s="40" t="s">
        <v>81</v>
      </c>
      <c r="G219" s="52"/>
      <c r="H219" s="50">
        <v>46609</v>
      </c>
    </row>
  </sheetData>
  <sheetProtection/>
  <mergeCells count="426">
    <mergeCell ref="D181:E181"/>
    <mergeCell ref="B182:C182"/>
    <mergeCell ref="D182:E182"/>
    <mergeCell ref="B184:C184"/>
    <mergeCell ref="D184:E184"/>
    <mergeCell ref="B191:C191"/>
    <mergeCell ref="D191:E191"/>
    <mergeCell ref="B126:C126"/>
    <mergeCell ref="D126:E126"/>
    <mergeCell ref="B144:C144"/>
    <mergeCell ref="D144:E144"/>
    <mergeCell ref="B148:C148"/>
    <mergeCell ref="D148:E148"/>
    <mergeCell ref="B96:C96"/>
    <mergeCell ref="D96:E96"/>
    <mergeCell ref="B106:C106"/>
    <mergeCell ref="D106:E106"/>
    <mergeCell ref="B114:C114"/>
    <mergeCell ref="D114:E114"/>
    <mergeCell ref="D215:E218"/>
    <mergeCell ref="B18:C18"/>
    <mergeCell ref="D18:E18"/>
    <mergeCell ref="B19:C19"/>
    <mergeCell ref="D19:E19"/>
    <mergeCell ref="B31:C31"/>
    <mergeCell ref="D31:E31"/>
    <mergeCell ref="B32:C32"/>
    <mergeCell ref="D32:E32"/>
    <mergeCell ref="B33:C33"/>
    <mergeCell ref="B218:C218"/>
    <mergeCell ref="B219:C21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H215:H218"/>
    <mergeCell ref="D219:E219"/>
    <mergeCell ref="B197:C197"/>
    <mergeCell ref="B199:C199"/>
    <mergeCell ref="B200:C200"/>
    <mergeCell ref="D200:E205"/>
    <mergeCell ref="F200:F205"/>
    <mergeCell ref="H200:H205"/>
    <mergeCell ref="B201:C201"/>
    <mergeCell ref="D206:E210"/>
    <mergeCell ref="B198:C198"/>
    <mergeCell ref="H206:H210"/>
    <mergeCell ref="D211:E214"/>
    <mergeCell ref="H211:H214"/>
    <mergeCell ref="B195:C195"/>
    <mergeCell ref="B196:C196"/>
    <mergeCell ref="B202:C202"/>
    <mergeCell ref="B203:C203"/>
    <mergeCell ref="B204:C204"/>
    <mergeCell ref="B205:C205"/>
    <mergeCell ref="B189:C189"/>
    <mergeCell ref="D189:E189"/>
    <mergeCell ref="B193:C193"/>
    <mergeCell ref="B194:C194"/>
    <mergeCell ref="B190:C190"/>
    <mergeCell ref="D190:E190"/>
    <mergeCell ref="D193:E199"/>
    <mergeCell ref="B192:C192"/>
    <mergeCell ref="D192:E192"/>
    <mergeCell ref="B185:C185"/>
    <mergeCell ref="D185:E185"/>
    <mergeCell ref="B186:C186"/>
    <mergeCell ref="D186:E186"/>
    <mergeCell ref="B187:C187"/>
    <mergeCell ref="D187:E187"/>
    <mergeCell ref="B177:C177"/>
    <mergeCell ref="D177:E177"/>
    <mergeCell ref="B180:C180"/>
    <mergeCell ref="D180:E180"/>
    <mergeCell ref="D178:E178"/>
    <mergeCell ref="B183:C183"/>
    <mergeCell ref="D183:E183"/>
    <mergeCell ref="B179:C179"/>
    <mergeCell ref="D179:E179"/>
    <mergeCell ref="B181:C181"/>
    <mergeCell ref="B173:C173"/>
    <mergeCell ref="D173:E173"/>
    <mergeCell ref="B175:C175"/>
    <mergeCell ref="D175:E175"/>
    <mergeCell ref="B176:C176"/>
    <mergeCell ref="D176:E176"/>
    <mergeCell ref="B171:C171"/>
    <mergeCell ref="D171:E171"/>
    <mergeCell ref="D169:E169"/>
    <mergeCell ref="B169:C169"/>
    <mergeCell ref="B172:C172"/>
    <mergeCell ref="D172:E172"/>
    <mergeCell ref="B168:C168"/>
    <mergeCell ref="D168:E168"/>
    <mergeCell ref="B163:C163"/>
    <mergeCell ref="D163:E163"/>
    <mergeCell ref="B164:C164"/>
    <mergeCell ref="B170:C170"/>
    <mergeCell ref="D170:E170"/>
    <mergeCell ref="B165:C165"/>
    <mergeCell ref="D165:E165"/>
    <mergeCell ref="B166:C166"/>
    <mergeCell ref="B159:C159"/>
    <mergeCell ref="D159:E159"/>
    <mergeCell ref="B160:C160"/>
    <mergeCell ref="D160:E160"/>
    <mergeCell ref="D142:E142"/>
    <mergeCell ref="B143:C143"/>
    <mergeCell ref="D143:E143"/>
    <mergeCell ref="B156:C156"/>
    <mergeCell ref="D156:E156"/>
    <mergeCell ref="B146:C146"/>
    <mergeCell ref="D146:E146"/>
    <mergeCell ref="B147:C147"/>
    <mergeCell ref="B155:C155"/>
    <mergeCell ref="D155:E155"/>
    <mergeCell ref="B138:C138"/>
    <mergeCell ref="D138:E138"/>
    <mergeCell ref="B139:C139"/>
    <mergeCell ref="D139:E139"/>
    <mergeCell ref="D166:E166"/>
    <mergeCell ref="B167:C167"/>
    <mergeCell ref="D167:E167"/>
    <mergeCell ref="B135:C135"/>
    <mergeCell ref="D135:E135"/>
    <mergeCell ref="B137:C137"/>
    <mergeCell ref="D137:E137"/>
    <mergeCell ref="B136:C136"/>
    <mergeCell ref="D136:E136"/>
    <mergeCell ref="B132:C132"/>
    <mergeCell ref="D132:E132"/>
    <mergeCell ref="B133:C133"/>
    <mergeCell ref="D133:E133"/>
    <mergeCell ref="B134:C134"/>
    <mergeCell ref="D134:E134"/>
    <mergeCell ref="B129:C129"/>
    <mergeCell ref="D129:E129"/>
    <mergeCell ref="B130:C130"/>
    <mergeCell ref="D130:E130"/>
    <mergeCell ref="B131:C131"/>
    <mergeCell ref="D131:E131"/>
    <mergeCell ref="B117:C117"/>
    <mergeCell ref="D117:E117"/>
    <mergeCell ref="D120:E120"/>
    <mergeCell ref="B121:C121"/>
    <mergeCell ref="D121:E121"/>
    <mergeCell ref="B123:C123"/>
    <mergeCell ref="D123:E123"/>
    <mergeCell ref="B109:C109"/>
    <mergeCell ref="D109:E109"/>
    <mergeCell ref="B108:C108"/>
    <mergeCell ref="D108:E108"/>
    <mergeCell ref="D112:E112"/>
    <mergeCell ref="B116:C116"/>
    <mergeCell ref="D116:E116"/>
    <mergeCell ref="B104:C104"/>
    <mergeCell ref="D104:E104"/>
    <mergeCell ref="B105:C105"/>
    <mergeCell ref="D105:E105"/>
    <mergeCell ref="B107:C107"/>
    <mergeCell ref="D107:E107"/>
    <mergeCell ref="B98:C98"/>
    <mergeCell ref="D98:E98"/>
    <mergeCell ref="B99:C99"/>
    <mergeCell ref="D99:E99"/>
    <mergeCell ref="B103:C103"/>
    <mergeCell ref="D103:E103"/>
    <mergeCell ref="B92:C92"/>
    <mergeCell ref="D92:E92"/>
    <mergeCell ref="B94:C94"/>
    <mergeCell ref="D94:E94"/>
    <mergeCell ref="B95:C95"/>
    <mergeCell ref="D95:E95"/>
    <mergeCell ref="B93:C93"/>
    <mergeCell ref="D93:E9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74:C74"/>
    <mergeCell ref="D74:E74"/>
    <mergeCell ref="B75:C75"/>
    <mergeCell ref="B82:C82"/>
    <mergeCell ref="D82:E82"/>
    <mergeCell ref="B83:C83"/>
    <mergeCell ref="D83:E83"/>
    <mergeCell ref="B76:C76"/>
    <mergeCell ref="D76:E76"/>
    <mergeCell ref="B70:C70"/>
    <mergeCell ref="D70:E70"/>
    <mergeCell ref="B71:C71"/>
    <mergeCell ref="D71:E71"/>
    <mergeCell ref="B73:C73"/>
    <mergeCell ref="D73:E73"/>
    <mergeCell ref="B62:C62"/>
    <mergeCell ref="D62:E62"/>
    <mergeCell ref="B64:C64"/>
    <mergeCell ref="D64:E64"/>
    <mergeCell ref="B72:C72"/>
    <mergeCell ref="D72:E72"/>
    <mergeCell ref="B65:C65"/>
    <mergeCell ref="D65:E65"/>
    <mergeCell ref="B66:C66"/>
    <mergeCell ref="D66:E66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2:C42"/>
    <mergeCell ref="D42:E42"/>
    <mergeCell ref="B46:C46"/>
    <mergeCell ref="D46:E46"/>
    <mergeCell ref="B45:C45"/>
    <mergeCell ref="D45:E45"/>
    <mergeCell ref="B39:C39"/>
    <mergeCell ref="D39:E39"/>
    <mergeCell ref="B40:C40"/>
    <mergeCell ref="D40:E40"/>
    <mergeCell ref="B41:C41"/>
    <mergeCell ref="D41:E41"/>
    <mergeCell ref="B28:C28"/>
    <mergeCell ref="D28:E28"/>
    <mergeCell ref="B29:C29"/>
    <mergeCell ref="B35:C35"/>
    <mergeCell ref="D35:E35"/>
    <mergeCell ref="B36:C36"/>
    <mergeCell ref="D36:E36"/>
    <mergeCell ref="D29:E29"/>
    <mergeCell ref="D33:E33"/>
    <mergeCell ref="B24:C24"/>
    <mergeCell ref="D24:E24"/>
    <mergeCell ref="B44:C44"/>
    <mergeCell ref="D44:E44"/>
    <mergeCell ref="B25:C25"/>
    <mergeCell ref="D25:E25"/>
    <mergeCell ref="B26:C26"/>
    <mergeCell ref="D26:E26"/>
    <mergeCell ref="B14:C14"/>
    <mergeCell ref="D14:E14"/>
    <mergeCell ref="B15:C15"/>
    <mergeCell ref="D15:E15"/>
    <mergeCell ref="B17:C17"/>
    <mergeCell ref="D17:E17"/>
    <mergeCell ref="B7:C7"/>
    <mergeCell ref="D7:E7"/>
    <mergeCell ref="B2:H2"/>
    <mergeCell ref="B3:H3"/>
    <mergeCell ref="B4:H4"/>
    <mergeCell ref="B5:C6"/>
    <mergeCell ref="D5:E6"/>
    <mergeCell ref="F5:H5"/>
    <mergeCell ref="B8:C8"/>
    <mergeCell ref="D8:E8"/>
    <mergeCell ref="B16:C16"/>
    <mergeCell ref="D16:E16"/>
    <mergeCell ref="B11:C11"/>
    <mergeCell ref="D11:E11"/>
    <mergeCell ref="B12:C12"/>
    <mergeCell ref="D12:E12"/>
    <mergeCell ref="B13:C13"/>
    <mergeCell ref="D13:E13"/>
    <mergeCell ref="B30:C30"/>
    <mergeCell ref="D30:E30"/>
    <mergeCell ref="B43:C43"/>
    <mergeCell ref="D43:E43"/>
    <mergeCell ref="B37:C37"/>
    <mergeCell ref="D37:E37"/>
    <mergeCell ref="B38:C38"/>
    <mergeCell ref="B34:C34"/>
    <mergeCell ref="D34:E34"/>
    <mergeCell ref="D38:E38"/>
    <mergeCell ref="B111:C111"/>
    <mergeCell ref="D111:E111"/>
    <mergeCell ref="B112:C112"/>
    <mergeCell ref="D75:E75"/>
    <mergeCell ref="B79:C79"/>
    <mergeCell ref="D79:E79"/>
    <mergeCell ref="B80:C80"/>
    <mergeCell ref="D80:E80"/>
    <mergeCell ref="B77:C77"/>
    <mergeCell ref="D77:E77"/>
    <mergeCell ref="B118:C118"/>
    <mergeCell ref="D118:E118"/>
    <mergeCell ref="B122:C122"/>
    <mergeCell ref="D122:E122"/>
    <mergeCell ref="B119:C119"/>
    <mergeCell ref="D119:E119"/>
    <mergeCell ref="B120:C120"/>
    <mergeCell ref="D141:E141"/>
    <mergeCell ref="B142:C142"/>
    <mergeCell ref="B124:C124"/>
    <mergeCell ref="D124:E124"/>
    <mergeCell ref="B125:C125"/>
    <mergeCell ref="D125:E125"/>
    <mergeCell ref="B127:C127"/>
    <mergeCell ref="D127:E127"/>
    <mergeCell ref="B128:C128"/>
    <mergeCell ref="D128:E128"/>
    <mergeCell ref="D147:E147"/>
    <mergeCell ref="B149:C149"/>
    <mergeCell ref="D149:E149"/>
    <mergeCell ref="B150:C150"/>
    <mergeCell ref="D150:E150"/>
    <mergeCell ref="B140:C140"/>
    <mergeCell ref="D140:E140"/>
    <mergeCell ref="B145:C145"/>
    <mergeCell ref="D145:E145"/>
    <mergeCell ref="B141:C141"/>
    <mergeCell ref="B162:C162"/>
    <mergeCell ref="D162:E162"/>
    <mergeCell ref="B151:C151"/>
    <mergeCell ref="D151:E151"/>
    <mergeCell ref="B152:C152"/>
    <mergeCell ref="D152:E152"/>
    <mergeCell ref="B157:C157"/>
    <mergeCell ref="D157:E157"/>
    <mergeCell ref="B158:C158"/>
    <mergeCell ref="D158:E158"/>
    <mergeCell ref="H193:H199"/>
    <mergeCell ref="B9:C9"/>
    <mergeCell ref="D9:E9"/>
    <mergeCell ref="B10:C10"/>
    <mergeCell ref="D10:E10"/>
    <mergeCell ref="F193:F199"/>
    <mergeCell ref="D164:E164"/>
    <mergeCell ref="B174:C174"/>
    <mergeCell ref="F206:F210"/>
    <mergeCell ref="F211:F214"/>
    <mergeCell ref="F215:F218"/>
    <mergeCell ref="G193:G199"/>
    <mergeCell ref="G200:G205"/>
    <mergeCell ref="G206:G210"/>
    <mergeCell ref="G211:G214"/>
    <mergeCell ref="G215:G218"/>
    <mergeCell ref="B153:C153"/>
    <mergeCell ref="D153:E153"/>
    <mergeCell ref="B154:C154"/>
    <mergeCell ref="D154:E154"/>
    <mergeCell ref="B188:C188"/>
    <mergeCell ref="D188:E188"/>
    <mergeCell ref="D174:E174"/>
    <mergeCell ref="B178:C178"/>
    <mergeCell ref="B161:C161"/>
    <mergeCell ref="D161:E161"/>
    <mergeCell ref="B101:C101"/>
    <mergeCell ref="D101:E101"/>
    <mergeCell ref="B102:C102"/>
    <mergeCell ref="D102:E102"/>
    <mergeCell ref="B115:C115"/>
    <mergeCell ref="D115:E115"/>
    <mergeCell ref="B110:C110"/>
    <mergeCell ref="D110:E110"/>
    <mergeCell ref="B113:C113"/>
    <mergeCell ref="D113:E113"/>
    <mergeCell ref="B81:C81"/>
    <mergeCell ref="D81:E81"/>
    <mergeCell ref="B97:C97"/>
    <mergeCell ref="D97:E97"/>
    <mergeCell ref="B100:C100"/>
    <mergeCell ref="D100:E100"/>
    <mergeCell ref="B84:C84"/>
    <mergeCell ref="D84:E84"/>
    <mergeCell ref="B85:C85"/>
    <mergeCell ref="D85:E85"/>
    <mergeCell ref="B63:C63"/>
    <mergeCell ref="D63:E63"/>
    <mergeCell ref="B67:C67"/>
    <mergeCell ref="D67:E67"/>
    <mergeCell ref="B78:C78"/>
    <mergeCell ref="D78:E78"/>
    <mergeCell ref="B68:C68"/>
    <mergeCell ref="D68:E68"/>
    <mergeCell ref="B69:C69"/>
    <mergeCell ref="D69:E69"/>
    <mergeCell ref="B20:C20"/>
    <mergeCell ref="D20:E20"/>
    <mergeCell ref="B23:C23"/>
    <mergeCell ref="D23:E23"/>
    <mergeCell ref="B27:C27"/>
    <mergeCell ref="D27:E27"/>
    <mergeCell ref="B21:C21"/>
    <mergeCell ref="D21:E21"/>
    <mergeCell ref="B22:C22"/>
    <mergeCell ref="D22:E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Marisol González González</dc:creator>
  <cp:keywords/>
  <dc:description/>
  <cp:lastModifiedBy>Carlos Moreno Cruz</cp:lastModifiedBy>
  <cp:lastPrinted>2018-01-17T18:27:47Z</cp:lastPrinted>
  <dcterms:created xsi:type="dcterms:W3CDTF">2013-12-02T18:21:46Z</dcterms:created>
  <dcterms:modified xsi:type="dcterms:W3CDTF">2020-01-24T21:00:48Z</dcterms:modified>
  <cp:category/>
  <cp:version/>
  <cp:contentType/>
  <cp:contentStatus/>
</cp:coreProperties>
</file>