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fileSharing readOnlyRecommended="1" userName="austrebertoa" reservationPassword="B21D"/>
  <workbookPr defaultThemeVersion="124226"/>
  <bookViews>
    <workbookView xWindow="360" yWindow="315" windowWidth="21840" windowHeight="9765"/>
  </bookViews>
  <sheets>
    <sheet name="BASE GRAL 2015" sheetId="1" r:id="rId1"/>
  </sheets>
  <externalReferences>
    <externalReference r:id="rId2"/>
  </externalReferences>
  <definedNames>
    <definedName name="_xlnm._FilterDatabase" localSheetId="0" hidden="1">'BASE GRAL 2015'!$A$8:$AO$8</definedName>
    <definedName name="APERTURA2015">[1]APERTURA15!$A$3:$B$20</definedName>
    <definedName name="_xlnm.Print_Area" localSheetId="0">'BASE GRAL 2015'!$A$1:$AO$186</definedName>
    <definedName name="CLAVES2015">'[1]CLAVES 2015'!$A$4:$H$27</definedName>
    <definedName name="GRPOFEIS15">'[1]GRPO FEIS 15'!$C$4:$D$90</definedName>
    <definedName name="POAS15">'[1]POAS 15'!$B$4:$C$63</definedName>
    <definedName name="SALDOS2015">'BASE GRAL 2015'!$A$9:$AP$12</definedName>
    <definedName name="_xlnm.Print_Titles" localSheetId="0">'BASE GRAL 2015'!$1:$7</definedName>
  </definedNames>
  <calcPr calcId="125725"/>
</workbook>
</file>

<file path=xl/calcChain.xml><?xml version="1.0" encoding="utf-8"?>
<calcChain xmlns="http://schemas.openxmlformats.org/spreadsheetml/2006/main">
  <c r="AN185" i="1"/>
  <c r="AN170" l="1"/>
  <c r="AN169"/>
  <c r="AN143"/>
  <c r="AN149"/>
  <c r="AN154"/>
  <c r="AN153"/>
  <c r="AN152"/>
  <c r="AN151"/>
  <c r="AN157"/>
  <c r="AN156"/>
  <c r="AN155"/>
  <c r="AN158"/>
  <c r="AN160"/>
  <c r="AN159"/>
  <c r="AN164"/>
  <c r="AN163"/>
  <c r="AN162"/>
  <c r="AN161"/>
  <c r="AN168"/>
  <c r="AN167"/>
  <c r="AN166"/>
  <c r="AN165"/>
  <c r="AN13"/>
  <c r="AN11"/>
  <c r="AN14"/>
  <c r="AN10"/>
  <c r="AN12"/>
  <c r="AN9"/>
  <c r="AN25"/>
  <c r="AN81"/>
  <c r="AN16"/>
  <c r="AN23"/>
  <c r="AN79"/>
  <c r="AN78"/>
  <c r="AN18"/>
  <c r="AN17"/>
  <c r="AN26"/>
  <c r="AN28"/>
  <c r="AN20"/>
  <c r="AN80"/>
  <c r="AN182"/>
  <c r="AN183"/>
  <c r="AN180"/>
  <c r="AN181"/>
  <c r="AN19"/>
  <c r="AN35"/>
  <c r="AN146"/>
  <c r="AN147"/>
  <c r="AN148"/>
  <c r="AN144"/>
  <c r="AN145" l="1"/>
  <c r="AN121"/>
  <c r="AN120"/>
  <c r="AN119"/>
  <c r="AN118"/>
  <c r="AN117"/>
  <c r="AN135"/>
  <c r="AN130"/>
  <c r="AN129"/>
  <c r="AN128"/>
  <c r="AN140"/>
  <c r="AN123"/>
  <c r="AN122"/>
  <c r="AN124"/>
  <c r="AN150"/>
  <c r="AN125"/>
  <c r="AN171"/>
  <c r="AN127"/>
  <c r="AN126"/>
  <c r="AN179"/>
  <c r="AN178"/>
  <c r="AN177"/>
  <c r="AN176"/>
  <c r="AN175"/>
  <c r="AN134"/>
  <c r="AN133"/>
  <c r="AN132"/>
  <c r="AN131"/>
  <c r="AN136"/>
  <c r="AN137"/>
  <c r="AN138"/>
  <c r="AN139"/>
  <c r="AN142"/>
  <c r="AN141"/>
  <c r="AN15"/>
  <c r="AM180" l="1"/>
  <c r="AL180"/>
  <c r="AK180"/>
  <c r="AJ180"/>
  <c r="AO180" s="1"/>
  <c r="AI180"/>
  <c r="AH180" s="1"/>
  <c r="AB180"/>
  <c r="V180"/>
  <c r="AM181"/>
  <c r="AL181"/>
  <c r="AK181"/>
  <c r="AH181" s="1"/>
  <c r="AJ181"/>
  <c r="AO181" s="1"/>
  <c r="AI181"/>
  <c r="AB181"/>
  <c r="V181"/>
  <c r="AM182"/>
  <c r="AL182"/>
  <c r="AK182"/>
  <c r="AH182" s="1"/>
  <c r="AJ182"/>
  <c r="AO182" s="1"/>
  <c r="AI182"/>
  <c r="AB182"/>
  <c r="V182"/>
  <c r="AP180" l="1"/>
  <c r="AP181"/>
  <c r="AP182"/>
  <c r="AM183"/>
  <c r="AL183"/>
  <c r="AK183"/>
  <c r="AH183" s="1"/>
  <c r="AJ183"/>
  <c r="AO183" s="1"/>
  <c r="AI183"/>
  <c r="AB183"/>
  <c r="V183"/>
  <c r="AM174"/>
  <c r="AL174"/>
  <c r="AK174"/>
  <c r="AJ174"/>
  <c r="AO174" s="1"/>
  <c r="AI174"/>
  <c r="AH174" s="1"/>
  <c r="AB174"/>
  <c r="V174"/>
  <c r="AM173"/>
  <c r="AL173"/>
  <c r="AK173"/>
  <c r="AJ173"/>
  <c r="AO173" s="1"/>
  <c r="AI173"/>
  <c r="AH173" s="1"/>
  <c r="AB173"/>
  <c r="V173"/>
  <c r="AM172"/>
  <c r="AL172"/>
  <c r="AK172"/>
  <c r="AJ172"/>
  <c r="AO172" s="1"/>
  <c r="AI172"/>
  <c r="AH172" s="1"/>
  <c r="AB172"/>
  <c r="V172"/>
  <c r="AM171"/>
  <c r="AL171"/>
  <c r="AK171"/>
  <c r="AJ171"/>
  <c r="AO171" s="1"/>
  <c r="AI171"/>
  <c r="AB171"/>
  <c r="V171"/>
  <c r="AM179"/>
  <c r="AL179"/>
  <c r="AK179"/>
  <c r="AJ179"/>
  <c r="AO179" s="1"/>
  <c r="AI179"/>
  <c r="AH179" s="1"/>
  <c r="AB179"/>
  <c r="V179"/>
  <c r="AM178"/>
  <c r="AL178"/>
  <c r="AK178"/>
  <c r="AJ178"/>
  <c r="AO178" s="1"/>
  <c r="AI178"/>
  <c r="AH178" s="1"/>
  <c r="AB178"/>
  <c r="V178"/>
  <c r="AM177"/>
  <c r="AL177"/>
  <c r="AK177"/>
  <c r="AJ177"/>
  <c r="AO177" s="1"/>
  <c r="AI177"/>
  <c r="AH177" s="1"/>
  <c r="AB177"/>
  <c r="V177"/>
  <c r="AM176"/>
  <c r="AL176"/>
  <c r="AK176"/>
  <c r="AJ176"/>
  <c r="AO176" s="1"/>
  <c r="AI176"/>
  <c r="AH176" s="1"/>
  <c r="AB176"/>
  <c r="V176"/>
  <c r="AP183" l="1"/>
  <c r="AP174"/>
  <c r="AP173"/>
  <c r="AP172"/>
  <c r="AP171"/>
  <c r="AH171"/>
  <c r="AP179"/>
  <c r="AP178"/>
  <c r="AP177"/>
  <c r="AP176"/>
  <c r="AM175"/>
  <c r="AL175"/>
  <c r="AK175"/>
  <c r="AH175" s="1"/>
  <c r="AJ175"/>
  <c r="AO175" s="1"/>
  <c r="AI175"/>
  <c r="AB175"/>
  <c r="V175"/>
  <c r="AM170"/>
  <c r="AL170"/>
  <c r="AK170"/>
  <c r="AJ170"/>
  <c r="AO170" s="1"/>
  <c r="AI170"/>
  <c r="AH170" s="1"/>
  <c r="AB170"/>
  <c r="V170"/>
  <c r="AM169"/>
  <c r="AL169"/>
  <c r="AK169"/>
  <c r="AJ169"/>
  <c r="AO169" s="1"/>
  <c r="AI169"/>
  <c r="AH169" s="1"/>
  <c r="AB169"/>
  <c r="V169"/>
  <c r="AM157"/>
  <c r="AL157"/>
  <c r="AK157"/>
  <c r="AJ157"/>
  <c r="AO157" s="1"/>
  <c r="AI157"/>
  <c r="AH157" s="1"/>
  <c r="AB157"/>
  <c r="V157"/>
  <c r="AM156"/>
  <c r="AL156"/>
  <c r="AK156"/>
  <c r="AJ156"/>
  <c r="AO156" s="1"/>
  <c r="AI156"/>
  <c r="AH156" s="1"/>
  <c r="AB156"/>
  <c r="V156"/>
  <c r="AM155"/>
  <c r="AL155"/>
  <c r="AK155"/>
  <c r="AJ155"/>
  <c r="AO155" s="1"/>
  <c r="AI155"/>
  <c r="AH155" s="1"/>
  <c r="AB155"/>
  <c r="V155"/>
  <c r="AM154"/>
  <c r="AL154"/>
  <c r="AK154"/>
  <c r="AJ154"/>
  <c r="AO154" s="1"/>
  <c r="AI154"/>
  <c r="AH154" s="1"/>
  <c r="AB154"/>
  <c r="V154"/>
  <c r="AM153"/>
  <c r="AL153"/>
  <c r="AK153"/>
  <c r="AJ153"/>
  <c r="AO153" s="1"/>
  <c r="AI153"/>
  <c r="AH153" s="1"/>
  <c r="AB153"/>
  <c r="V153"/>
  <c r="AM152"/>
  <c r="AL152"/>
  <c r="AK152"/>
  <c r="AJ152"/>
  <c r="AP152" s="1"/>
  <c r="AI152"/>
  <c r="AH152" s="1"/>
  <c r="AB152"/>
  <c r="V152"/>
  <c r="AM151"/>
  <c r="AL151"/>
  <c r="AK151"/>
  <c r="AJ151"/>
  <c r="AO151" s="1"/>
  <c r="AI151"/>
  <c r="AB151"/>
  <c r="V151"/>
  <c r="AM149"/>
  <c r="AL149"/>
  <c r="AK149"/>
  <c r="AJ149"/>
  <c r="AO149" s="1"/>
  <c r="AI149"/>
  <c r="AH149"/>
  <c r="AB149"/>
  <c r="V149"/>
  <c r="AM148"/>
  <c r="AL148"/>
  <c r="AK148"/>
  <c r="AJ148"/>
  <c r="AO148" s="1"/>
  <c r="AI148"/>
  <c r="AH148"/>
  <c r="AB148"/>
  <c r="V148"/>
  <c r="AM147"/>
  <c r="AL147"/>
  <c r="AK147"/>
  <c r="AJ147"/>
  <c r="AO147" s="1"/>
  <c r="AI147"/>
  <c r="AH147"/>
  <c r="AB147"/>
  <c r="V147"/>
  <c r="AM146"/>
  <c r="AL146"/>
  <c r="AK146"/>
  <c r="AH146" s="1"/>
  <c r="AJ146"/>
  <c r="AO146" s="1"/>
  <c r="AI146"/>
  <c r="AB146"/>
  <c r="V146"/>
  <c r="AM143"/>
  <c r="AL143"/>
  <c r="AK143"/>
  <c r="AJ143"/>
  <c r="AO143" s="1"/>
  <c r="AI143"/>
  <c r="AH143"/>
  <c r="AB143"/>
  <c r="V143"/>
  <c r="AM142"/>
  <c r="AL142"/>
  <c r="AK142"/>
  <c r="AJ142"/>
  <c r="AO142" s="1"/>
  <c r="AI142"/>
  <c r="AH142"/>
  <c r="AB142"/>
  <c r="V142"/>
  <c r="AM141"/>
  <c r="AL141"/>
  <c r="AK141"/>
  <c r="AJ141"/>
  <c r="AO141" s="1"/>
  <c r="AI141"/>
  <c r="AH141" s="1"/>
  <c r="AB141"/>
  <c r="V141"/>
  <c r="AM140"/>
  <c r="AL140"/>
  <c r="AK140"/>
  <c r="AJ140"/>
  <c r="AO140" s="1"/>
  <c r="AI140"/>
  <c r="AH140" s="1"/>
  <c r="AB140"/>
  <c r="V140"/>
  <c r="AM135"/>
  <c r="AL135"/>
  <c r="AK135"/>
  <c r="AJ135"/>
  <c r="AO135" s="1"/>
  <c r="AI135"/>
  <c r="AB135"/>
  <c r="V135"/>
  <c r="AM134"/>
  <c r="AL134"/>
  <c r="AK134"/>
  <c r="AJ134"/>
  <c r="AO134" s="1"/>
  <c r="AI134"/>
  <c r="AH134" s="1"/>
  <c r="AB134"/>
  <c r="V134"/>
  <c r="AM133"/>
  <c r="AL133"/>
  <c r="AK133"/>
  <c r="AJ133"/>
  <c r="AO133" s="1"/>
  <c r="AI133"/>
  <c r="AH133" s="1"/>
  <c r="AB133"/>
  <c r="V133"/>
  <c r="AM132"/>
  <c r="AL132"/>
  <c r="AK132"/>
  <c r="AH132" s="1"/>
  <c r="AJ132"/>
  <c r="AO132" s="1"/>
  <c r="AI132"/>
  <c r="AB132"/>
  <c r="V132"/>
  <c r="AM131"/>
  <c r="AL131"/>
  <c r="AK131"/>
  <c r="AJ131"/>
  <c r="AO131" s="1"/>
  <c r="AI131"/>
  <c r="AH131" s="1"/>
  <c r="AB131"/>
  <c r="V131"/>
  <c r="AM130"/>
  <c r="AL130"/>
  <c r="AK130"/>
  <c r="AJ130"/>
  <c r="AO130" s="1"/>
  <c r="AI130"/>
  <c r="AH130" s="1"/>
  <c r="AB130"/>
  <c r="V130"/>
  <c r="AM129"/>
  <c r="AL129"/>
  <c r="AK129"/>
  <c r="AJ129"/>
  <c r="AO129" s="1"/>
  <c r="AI129"/>
  <c r="AH129" s="1"/>
  <c r="AB129"/>
  <c r="V129"/>
  <c r="AM128"/>
  <c r="AL128"/>
  <c r="AK128"/>
  <c r="AH128" s="1"/>
  <c r="AJ128"/>
  <c r="AO128" s="1"/>
  <c r="AI128"/>
  <c r="AB128"/>
  <c r="V128"/>
  <c r="AM125"/>
  <c r="AL125"/>
  <c r="AK125"/>
  <c r="AJ125"/>
  <c r="AO125" s="1"/>
  <c r="AI125"/>
  <c r="AH125"/>
  <c r="AB125"/>
  <c r="V125"/>
  <c r="AM124"/>
  <c r="AL124"/>
  <c r="AK124"/>
  <c r="AJ124"/>
  <c r="AO124" s="1"/>
  <c r="AI124"/>
  <c r="AH124" s="1"/>
  <c r="AB124"/>
  <c r="V124"/>
  <c r="AM123"/>
  <c r="AL123"/>
  <c r="AK123"/>
  <c r="AJ123"/>
  <c r="AP123" s="1"/>
  <c r="AI123"/>
  <c r="AH123"/>
  <c r="AB123"/>
  <c r="V123"/>
  <c r="AM122"/>
  <c r="AL122"/>
  <c r="AK122"/>
  <c r="AJ122"/>
  <c r="AO122" s="1"/>
  <c r="AI122"/>
  <c r="AH122"/>
  <c r="AB122"/>
  <c r="V122"/>
  <c r="AM127"/>
  <c r="AL127"/>
  <c r="AK127"/>
  <c r="AJ127"/>
  <c r="AO127" s="1"/>
  <c r="AI127"/>
  <c r="AB127"/>
  <c r="V127"/>
  <c r="AM126"/>
  <c r="AL126"/>
  <c r="AK126"/>
  <c r="AJ126"/>
  <c r="AO126" s="1"/>
  <c r="AI126"/>
  <c r="AH126" s="1"/>
  <c r="AB126"/>
  <c r="V126"/>
  <c r="AM164"/>
  <c r="AL164"/>
  <c r="AK164"/>
  <c r="AJ164"/>
  <c r="AO164" s="1"/>
  <c r="AI164"/>
  <c r="AB164"/>
  <c r="V164"/>
  <c r="AM163"/>
  <c r="AL163"/>
  <c r="AK163"/>
  <c r="AJ163"/>
  <c r="AO163" s="1"/>
  <c r="AI163"/>
  <c r="AB163"/>
  <c r="V163"/>
  <c r="AM162"/>
  <c r="AL162"/>
  <c r="AK162"/>
  <c r="AJ162"/>
  <c r="AO162" s="1"/>
  <c r="AI162"/>
  <c r="AB162"/>
  <c r="V162"/>
  <c r="AM161"/>
  <c r="AL161"/>
  <c r="AK161"/>
  <c r="AJ161"/>
  <c r="AO161" s="1"/>
  <c r="AI161"/>
  <c r="AH161" s="1"/>
  <c r="AB161"/>
  <c r="V161"/>
  <c r="AM160"/>
  <c r="AL160"/>
  <c r="AK160"/>
  <c r="AJ160"/>
  <c r="AO160" s="1"/>
  <c r="AI160"/>
  <c r="AB160"/>
  <c r="V160"/>
  <c r="AM159"/>
  <c r="AL159"/>
  <c r="AK159"/>
  <c r="AJ159"/>
  <c r="AO159" s="1"/>
  <c r="AI159"/>
  <c r="AH159" s="1"/>
  <c r="AB159"/>
  <c r="V159"/>
  <c r="AM158"/>
  <c r="AL158"/>
  <c r="AK158"/>
  <c r="AJ158"/>
  <c r="AO158" s="1"/>
  <c r="AI158"/>
  <c r="AH158" s="1"/>
  <c r="AB158"/>
  <c r="V158"/>
  <c r="AM168"/>
  <c r="AL168"/>
  <c r="AK168"/>
  <c r="AJ168"/>
  <c r="AO168" s="1"/>
  <c r="AI168"/>
  <c r="AB168"/>
  <c r="V168"/>
  <c r="AM167"/>
  <c r="AL167"/>
  <c r="AK167"/>
  <c r="AJ167"/>
  <c r="AO167" s="1"/>
  <c r="AI167"/>
  <c r="AH167"/>
  <c r="AB167"/>
  <c r="V167"/>
  <c r="AM166"/>
  <c r="AL166"/>
  <c r="AK166"/>
  <c r="AJ166"/>
  <c r="AO166" s="1"/>
  <c r="AI166"/>
  <c r="AB166"/>
  <c r="V166"/>
  <c r="AM165"/>
  <c r="AL165"/>
  <c r="AK165"/>
  <c r="AJ165"/>
  <c r="AO165" s="1"/>
  <c r="AI165"/>
  <c r="AB165"/>
  <c r="V165"/>
  <c r="AM150"/>
  <c r="AL150"/>
  <c r="AK150"/>
  <c r="AJ150"/>
  <c r="AO150" s="1"/>
  <c r="AI150"/>
  <c r="AH150" s="1"/>
  <c r="AB150"/>
  <c r="V150"/>
  <c r="AM144"/>
  <c r="AL144"/>
  <c r="AK144"/>
  <c r="AJ144"/>
  <c r="AO144" s="1"/>
  <c r="AI144"/>
  <c r="AH144" s="1"/>
  <c r="AB144"/>
  <c r="V144"/>
  <c r="AM145"/>
  <c r="AL145"/>
  <c r="AK145"/>
  <c r="AJ145"/>
  <c r="AO145" s="1"/>
  <c r="AI145"/>
  <c r="AH145" s="1"/>
  <c r="AB145"/>
  <c r="V145"/>
  <c r="AM139"/>
  <c r="AL139"/>
  <c r="AK139"/>
  <c r="AJ139"/>
  <c r="AO139" s="1"/>
  <c r="AI139"/>
  <c r="AH139"/>
  <c r="AB139"/>
  <c r="V139"/>
  <c r="AM136"/>
  <c r="AL136"/>
  <c r="AK136"/>
  <c r="AJ136"/>
  <c r="AO136" s="1"/>
  <c r="AI136"/>
  <c r="AH136"/>
  <c r="AB136"/>
  <c r="V136"/>
  <c r="AM138"/>
  <c r="AL138"/>
  <c r="AK138"/>
  <c r="AJ138"/>
  <c r="AO138" s="1"/>
  <c r="AI138"/>
  <c r="AH138"/>
  <c r="AB138"/>
  <c r="V138"/>
  <c r="AM137"/>
  <c r="AL137"/>
  <c r="AK137"/>
  <c r="AJ137"/>
  <c r="AO137" s="1"/>
  <c r="AI137"/>
  <c r="AB137"/>
  <c r="V137"/>
  <c r="AM121"/>
  <c r="AL121"/>
  <c r="AK121"/>
  <c r="AJ121"/>
  <c r="AO121" s="1"/>
  <c r="AI121"/>
  <c r="AH121" s="1"/>
  <c r="AB121"/>
  <c r="V121"/>
  <c r="AM120"/>
  <c r="AL120"/>
  <c r="AK120"/>
  <c r="AJ120"/>
  <c r="AO120" s="1"/>
  <c r="AI120"/>
  <c r="AH120" s="1"/>
  <c r="AB120"/>
  <c r="V120"/>
  <c r="AM119"/>
  <c r="AL119"/>
  <c r="AK119"/>
  <c r="AJ119"/>
  <c r="AO119" s="1"/>
  <c r="AI119"/>
  <c r="AH119"/>
  <c r="AB119"/>
  <c r="V119"/>
  <c r="AM118"/>
  <c r="AL118"/>
  <c r="AK118"/>
  <c r="AJ118"/>
  <c r="AO118" s="1"/>
  <c r="AI118"/>
  <c r="AB118"/>
  <c r="V118"/>
  <c r="AM117"/>
  <c r="AL117"/>
  <c r="AK117"/>
  <c r="AJ117"/>
  <c r="AO117" s="1"/>
  <c r="AI117"/>
  <c r="AH117" s="1"/>
  <c r="AB117"/>
  <c r="V117"/>
  <c r="AM116"/>
  <c r="AL116"/>
  <c r="AK116"/>
  <c r="AJ116"/>
  <c r="AO116" s="1"/>
  <c r="AI116"/>
  <c r="AH116"/>
  <c r="AB116"/>
  <c r="V116"/>
  <c r="AM115"/>
  <c r="AL115"/>
  <c r="AK115"/>
  <c r="AJ115"/>
  <c r="AO115" s="1"/>
  <c r="AI115"/>
  <c r="AB115"/>
  <c r="V115"/>
  <c r="AM114"/>
  <c r="AL114"/>
  <c r="AK114"/>
  <c r="AJ114"/>
  <c r="AO114" s="1"/>
  <c r="AI114"/>
  <c r="AH114" s="1"/>
  <c r="AB114"/>
  <c r="V114"/>
  <c r="AP175" l="1"/>
  <c r="AP170"/>
  <c r="AP169"/>
  <c r="AP157"/>
  <c r="AP156"/>
  <c r="AP155"/>
  <c r="AP154"/>
  <c r="AP153"/>
  <c r="AO152"/>
  <c r="AH151"/>
  <c r="AP151"/>
  <c r="AP149"/>
  <c r="AP148"/>
  <c r="AP147"/>
  <c r="AP146"/>
  <c r="AP143"/>
  <c r="AP142"/>
  <c r="AP141"/>
  <c r="AP140"/>
  <c r="AP135"/>
  <c r="AH135"/>
  <c r="AP134"/>
  <c r="AP133"/>
  <c r="AP132"/>
  <c r="AP131"/>
  <c r="AP130"/>
  <c r="AP129"/>
  <c r="AP128"/>
  <c r="AP125"/>
  <c r="AP124"/>
  <c r="AH137"/>
  <c r="AH115"/>
  <c r="AO123"/>
  <c r="AP122"/>
  <c r="AP127"/>
  <c r="AH127"/>
  <c r="AP126"/>
  <c r="AP164"/>
  <c r="AH164"/>
  <c r="AP163"/>
  <c r="AH163"/>
  <c r="AP162"/>
  <c r="AH162"/>
  <c r="AP161"/>
  <c r="AH160"/>
  <c r="AP160"/>
  <c r="AP159"/>
  <c r="AP158"/>
  <c r="AP168"/>
  <c r="AH168"/>
  <c r="AP167"/>
  <c r="AH166"/>
  <c r="AP166"/>
  <c r="AH165"/>
  <c r="AP165"/>
  <c r="AP150"/>
  <c r="AP144"/>
  <c r="AP145"/>
  <c r="AP139"/>
  <c r="AP136"/>
  <c r="AP138"/>
  <c r="AP137"/>
  <c r="AP121"/>
  <c r="AP120"/>
  <c r="AP119"/>
  <c r="AP118"/>
  <c r="AH118"/>
  <c r="AP117"/>
  <c r="AP116"/>
  <c r="AP115"/>
  <c r="AP114"/>
  <c r="AM113"/>
  <c r="AL113"/>
  <c r="AK113"/>
  <c r="AJ113"/>
  <c r="AO113" s="1"/>
  <c r="AI113"/>
  <c r="AB113"/>
  <c r="V113"/>
  <c r="AM112"/>
  <c r="AL112"/>
  <c r="AK112"/>
  <c r="AJ112"/>
  <c r="AO112" s="1"/>
  <c r="AI112"/>
  <c r="AH112" s="1"/>
  <c r="AB112"/>
  <c r="V112"/>
  <c r="AM111"/>
  <c r="AL111"/>
  <c r="AK111"/>
  <c r="AJ111"/>
  <c r="AP111" s="1"/>
  <c r="AI111"/>
  <c r="AH111" s="1"/>
  <c r="AB111"/>
  <c r="V111"/>
  <c r="AM110"/>
  <c r="AL110"/>
  <c r="AK110"/>
  <c r="AJ110"/>
  <c r="AO110" s="1"/>
  <c r="AI110"/>
  <c r="AB110"/>
  <c r="V110"/>
  <c r="AM109"/>
  <c r="AL109"/>
  <c r="AK109"/>
  <c r="AJ109"/>
  <c r="AO109" s="1"/>
  <c r="AI109"/>
  <c r="AH109" s="1"/>
  <c r="AB109"/>
  <c r="V109"/>
  <c r="AM108"/>
  <c r="AL108"/>
  <c r="AK108"/>
  <c r="AJ108"/>
  <c r="AO108" s="1"/>
  <c r="AI108"/>
  <c r="AH108" s="1"/>
  <c r="AB108"/>
  <c r="V108"/>
  <c r="AM107"/>
  <c r="AL107"/>
  <c r="AK107"/>
  <c r="AJ107"/>
  <c r="AO107" s="1"/>
  <c r="AI107"/>
  <c r="AH107" s="1"/>
  <c r="AB107"/>
  <c r="V107"/>
  <c r="AH113" l="1"/>
  <c r="AP113"/>
  <c r="AP112"/>
  <c r="AO111"/>
  <c r="AH110"/>
  <c r="AP110"/>
  <c r="AP109"/>
  <c r="AP108"/>
  <c r="AP107"/>
  <c r="AM106"/>
  <c r="AL106"/>
  <c r="AK106"/>
  <c r="AJ106"/>
  <c r="AO106" s="1"/>
  <c r="AI106"/>
  <c r="AB106"/>
  <c r="V106"/>
  <c r="AM105"/>
  <c r="AL105"/>
  <c r="AK105"/>
  <c r="AJ105"/>
  <c r="AO105" s="1"/>
  <c r="AI105"/>
  <c r="AH105" s="1"/>
  <c r="AB105"/>
  <c r="V105"/>
  <c r="AM104"/>
  <c r="AL104"/>
  <c r="AK104"/>
  <c r="AJ104"/>
  <c r="AO104" s="1"/>
  <c r="AI104"/>
  <c r="AB104"/>
  <c r="V104"/>
  <c r="AM103"/>
  <c r="AL103"/>
  <c r="AK103"/>
  <c r="AJ103"/>
  <c r="AO103" s="1"/>
  <c r="AI103"/>
  <c r="AH103" s="1"/>
  <c r="AB103"/>
  <c r="V103"/>
  <c r="AM102"/>
  <c r="AL102"/>
  <c r="AK102"/>
  <c r="AJ102"/>
  <c r="AO102" s="1"/>
  <c r="AI102"/>
  <c r="AB102"/>
  <c r="V102"/>
  <c r="AM101"/>
  <c r="AL101"/>
  <c r="AK101"/>
  <c r="AJ101"/>
  <c r="AO101" s="1"/>
  <c r="AI101"/>
  <c r="AH101" s="1"/>
  <c r="AB101"/>
  <c r="V101"/>
  <c r="AM100"/>
  <c r="AL100"/>
  <c r="AK100"/>
  <c r="AJ100"/>
  <c r="AO100" s="1"/>
  <c r="AI100"/>
  <c r="AB100"/>
  <c r="V100"/>
  <c r="AM99"/>
  <c r="AL99"/>
  <c r="AK99"/>
  <c r="AJ99"/>
  <c r="AO99" s="1"/>
  <c r="AI99"/>
  <c r="AH99" s="1"/>
  <c r="AB99"/>
  <c r="V99"/>
  <c r="AM98"/>
  <c r="AL98"/>
  <c r="AK98"/>
  <c r="AJ98"/>
  <c r="AO98" s="1"/>
  <c r="AI98"/>
  <c r="AB98"/>
  <c r="V98"/>
  <c r="AM97"/>
  <c r="AL97"/>
  <c r="AK97"/>
  <c r="AJ97"/>
  <c r="AO97" s="1"/>
  <c r="AI97"/>
  <c r="AH97" s="1"/>
  <c r="AB97"/>
  <c r="V97"/>
  <c r="AM96"/>
  <c r="AL96"/>
  <c r="AK96"/>
  <c r="AJ96"/>
  <c r="AO96" s="1"/>
  <c r="AI96"/>
  <c r="AB96"/>
  <c r="V96"/>
  <c r="AM95"/>
  <c r="AL95"/>
  <c r="AK95"/>
  <c r="AJ95"/>
  <c r="AO95" s="1"/>
  <c r="AI95"/>
  <c r="AH95" s="1"/>
  <c r="AB95"/>
  <c r="V95"/>
  <c r="AM94"/>
  <c r="AL94"/>
  <c r="AK94"/>
  <c r="AJ94"/>
  <c r="AO94" s="1"/>
  <c r="AI94"/>
  <c r="AB94"/>
  <c r="V94"/>
  <c r="AM93"/>
  <c r="AL93"/>
  <c r="AK93"/>
  <c r="AJ93"/>
  <c r="AO93" s="1"/>
  <c r="AI93"/>
  <c r="AH93" s="1"/>
  <c r="AB93"/>
  <c r="V93"/>
  <c r="AM92"/>
  <c r="AL92"/>
  <c r="AK92"/>
  <c r="AJ92"/>
  <c r="AO92" s="1"/>
  <c r="AI92"/>
  <c r="AH92" s="1"/>
  <c r="AB92"/>
  <c r="V92"/>
  <c r="AM91"/>
  <c r="AL91"/>
  <c r="AK91"/>
  <c r="AJ91"/>
  <c r="AO91" s="1"/>
  <c r="AI91"/>
  <c r="AH91" s="1"/>
  <c r="AB91"/>
  <c r="V91"/>
  <c r="AM90"/>
  <c r="AL90"/>
  <c r="AK90"/>
  <c r="AJ90"/>
  <c r="AO90" s="1"/>
  <c r="AI90"/>
  <c r="AH90" s="1"/>
  <c r="AB90"/>
  <c r="V90"/>
  <c r="AM89"/>
  <c r="AL89"/>
  <c r="AK89"/>
  <c r="AJ89"/>
  <c r="AO89" s="1"/>
  <c r="AI89"/>
  <c r="AB89"/>
  <c r="V89"/>
  <c r="AM88"/>
  <c r="AL88"/>
  <c r="AK88"/>
  <c r="AJ88"/>
  <c r="AO88" s="1"/>
  <c r="AI88"/>
  <c r="AB88"/>
  <c r="V88"/>
  <c r="AM87"/>
  <c r="AL87"/>
  <c r="AK87"/>
  <c r="AJ87"/>
  <c r="AO87" s="1"/>
  <c r="AI87"/>
  <c r="AH87" s="1"/>
  <c r="AB87"/>
  <c r="V87"/>
  <c r="AM86"/>
  <c r="AL86"/>
  <c r="AK86"/>
  <c r="AJ86"/>
  <c r="AO86" s="1"/>
  <c r="AI86"/>
  <c r="AB86"/>
  <c r="V86"/>
  <c r="AM85"/>
  <c r="AL85"/>
  <c r="AK85"/>
  <c r="AJ85"/>
  <c r="AO85" s="1"/>
  <c r="AI85"/>
  <c r="AB85"/>
  <c r="V85"/>
  <c r="AM84"/>
  <c r="AL84"/>
  <c r="AK84"/>
  <c r="AJ84"/>
  <c r="AO84" s="1"/>
  <c r="AI84"/>
  <c r="AH84" s="1"/>
  <c r="AB84"/>
  <c r="V84"/>
  <c r="AM83"/>
  <c r="AL83"/>
  <c r="AK83"/>
  <c r="AJ83"/>
  <c r="AO83" s="1"/>
  <c r="AI83"/>
  <c r="AB83"/>
  <c r="V83"/>
  <c r="AM82"/>
  <c r="AL82"/>
  <c r="AK82"/>
  <c r="AJ82"/>
  <c r="AO82" s="1"/>
  <c r="AI82"/>
  <c r="AH82" s="1"/>
  <c r="AB82"/>
  <c r="V82"/>
  <c r="AM81"/>
  <c r="AL81"/>
  <c r="AK81"/>
  <c r="AJ81"/>
  <c r="AO81" s="1"/>
  <c r="AI81"/>
  <c r="AH81" s="1"/>
  <c r="AB81"/>
  <c r="V81"/>
  <c r="AM80"/>
  <c r="AL80"/>
  <c r="AK80"/>
  <c r="AJ80"/>
  <c r="AO80" s="1"/>
  <c r="AI80"/>
  <c r="AH80" s="1"/>
  <c r="AB80"/>
  <c r="V80"/>
  <c r="AM79"/>
  <c r="AL79"/>
  <c r="AK79"/>
  <c r="AJ79"/>
  <c r="AO79" s="1"/>
  <c r="AI79"/>
  <c r="AH79" s="1"/>
  <c r="AB79"/>
  <c r="V79"/>
  <c r="AM78"/>
  <c r="AL78"/>
  <c r="AK78"/>
  <c r="AJ78"/>
  <c r="AO78" s="1"/>
  <c r="AI78"/>
  <c r="AH78" s="1"/>
  <c r="AB78"/>
  <c r="V78"/>
  <c r="AM77"/>
  <c r="AL77"/>
  <c r="AK77"/>
  <c r="AJ77"/>
  <c r="AO77" s="1"/>
  <c r="AI77"/>
  <c r="AH77" s="1"/>
  <c r="AB77"/>
  <c r="V77"/>
  <c r="AM76"/>
  <c r="AL76"/>
  <c r="AK76"/>
  <c r="AJ76"/>
  <c r="AO76" s="1"/>
  <c r="AI76"/>
  <c r="AB76"/>
  <c r="V76"/>
  <c r="AM75"/>
  <c r="AL75"/>
  <c r="AK75"/>
  <c r="AJ75"/>
  <c r="AP75" s="1"/>
  <c r="AI75"/>
  <c r="AB75"/>
  <c r="V75"/>
  <c r="AM74"/>
  <c r="AL74"/>
  <c r="AK74"/>
  <c r="AJ74"/>
  <c r="AO74" s="1"/>
  <c r="AI74"/>
  <c r="AH74"/>
  <c r="AB74"/>
  <c r="V74"/>
  <c r="AM73"/>
  <c r="AL73"/>
  <c r="AK73"/>
  <c r="AJ73"/>
  <c r="AO73" s="1"/>
  <c r="AI73"/>
  <c r="AB73"/>
  <c r="V73"/>
  <c r="AM72"/>
  <c r="AL72"/>
  <c r="AK72"/>
  <c r="AJ72"/>
  <c r="AO72" s="1"/>
  <c r="AI72"/>
  <c r="AB72"/>
  <c r="V72"/>
  <c r="AM71"/>
  <c r="AL71"/>
  <c r="AK71"/>
  <c r="AJ71"/>
  <c r="AO71" s="1"/>
  <c r="AI71"/>
  <c r="AB71"/>
  <c r="V71"/>
  <c r="AM70"/>
  <c r="AL70"/>
  <c r="AK70"/>
  <c r="AJ70"/>
  <c r="AO70" s="1"/>
  <c r="AI70"/>
  <c r="AB70"/>
  <c r="V70"/>
  <c r="AM69"/>
  <c r="AL69"/>
  <c r="AK69"/>
  <c r="AJ69"/>
  <c r="AO69" s="1"/>
  <c r="AI69"/>
  <c r="AB69"/>
  <c r="V69"/>
  <c r="AM68"/>
  <c r="AL68"/>
  <c r="AK68"/>
  <c r="AJ68"/>
  <c r="AO68" s="1"/>
  <c r="AI68"/>
  <c r="AB68"/>
  <c r="V68"/>
  <c r="AM67"/>
  <c r="AL67"/>
  <c r="AK67"/>
  <c r="AJ67"/>
  <c r="AO67" s="1"/>
  <c r="AI67"/>
  <c r="AH67" s="1"/>
  <c r="AB67"/>
  <c r="V67"/>
  <c r="AM66"/>
  <c r="AL66"/>
  <c r="AK66"/>
  <c r="AJ66"/>
  <c r="AO66" s="1"/>
  <c r="AI66"/>
  <c r="AH66"/>
  <c r="AB66"/>
  <c r="V66"/>
  <c r="AM65"/>
  <c r="AL65"/>
  <c r="AK65"/>
  <c r="AJ65"/>
  <c r="AO65" s="1"/>
  <c r="AI65"/>
  <c r="AB65"/>
  <c r="V65"/>
  <c r="AM64"/>
  <c r="AL64"/>
  <c r="AK64"/>
  <c r="AJ64"/>
  <c r="AO64" s="1"/>
  <c r="AI64"/>
  <c r="AB64"/>
  <c r="V64"/>
  <c r="AM63"/>
  <c r="AL63"/>
  <c r="AK63"/>
  <c r="AJ63"/>
  <c r="AO63" s="1"/>
  <c r="AI63"/>
  <c r="AB63"/>
  <c r="V63"/>
  <c r="AM62"/>
  <c r="AL62"/>
  <c r="AK62"/>
  <c r="AJ62"/>
  <c r="AO62" s="1"/>
  <c r="AI62"/>
  <c r="AB62"/>
  <c r="V62"/>
  <c r="AM61"/>
  <c r="AL61"/>
  <c r="AK61"/>
  <c r="AJ61"/>
  <c r="AO61" s="1"/>
  <c r="AI61"/>
  <c r="AB61"/>
  <c r="V61"/>
  <c r="AM60"/>
  <c r="AL60"/>
  <c r="AK60"/>
  <c r="AJ60"/>
  <c r="AO60" s="1"/>
  <c r="AI60"/>
  <c r="AB60"/>
  <c r="V60"/>
  <c r="AM59"/>
  <c r="AL59"/>
  <c r="AK59"/>
  <c r="AJ59"/>
  <c r="AO59" s="1"/>
  <c r="AI59"/>
  <c r="AB59"/>
  <c r="V59"/>
  <c r="AM58"/>
  <c r="AL58"/>
  <c r="AK58"/>
  <c r="AJ58"/>
  <c r="AO58" s="1"/>
  <c r="AI58"/>
  <c r="AB58"/>
  <c r="V58"/>
  <c r="AM57"/>
  <c r="AL57"/>
  <c r="AK57"/>
  <c r="AJ57"/>
  <c r="AO57" s="1"/>
  <c r="AI57"/>
  <c r="AB57"/>
  <c r="V57"/>
  <c r="AM56"/>
  <c r="AL56"/>
  <c r="AK56"/>
  <c r="AJ56"/>
  <c r="AO56" s="1"/>
  <c r="AI56"/>
  <c r="AB56"/>
  <c r="V56"/>
  <c r="AM55"/>
  <c r="AL55"/>
  <c r="AK55"/>
  <c r="AJ55"/>
  <c r="AO55" s="1"/>
  <c r="AI55"/>
  <c r="AH55" s="1"/>
  <c r="AB55"/>
  <c r="V55"/>
  <c r="AM54"/>
  <c r="AL54"/>
  <c r="AK54"/>
  <c r="AJ54"/>
  <c r="AO54" s="1"/>
  <c r="AI54"/>
  <c r="AH54"/>
  <c r="AB54"/>
  <c r="V54"/>
  <c r="AM53"/>
  <c r="AL53"/>
  <c r="AK53"/>
  <c r="AJ53"/>
  <c r="AO53" s="1"/>
  <c r="AI53"/>
  <c r="AB53"/>
  <c r="V53"/>
  <c r="AM52"/>
  <c r="AL52"/>
  <c r="AK52"/>
  <c r="AJ52"/>
  <c r="AO52" s="1"/>
  <c r="AI52"/>
  <c r="AB52"/>
  <c r="V52"/>
  <c r="AM51"/>
  <c r="AL51"/>
  <c r="AK51"/>
  <c r="AJ51"/>
  <c r="AO51" s="1"/>
  <c r="AI51"/>
  <c r="AB51"/>
  <c r="V51"/>
  <c r="AM50"/>
  <c r="AL50"/>
  <c r="AK50"/>
  <c r="AJ50"/>
  <c r="AO50" s="1"/>
  <c r="AI50"/>
  <c r="AB50"/>
  <c r="V50"/>
  <c r="AM49"/>
  <c r="AL49"/>
  <c r="AK49"/>
  <c r="AJ49"/>
  <c r="AO49" s="1"/>
  <c r="AI49"/>
  <c r="AB49"/>
  <c r="V49"/>
  <c r="AM48"/>
  <c r="AL48"/>
  <c r="AK48"/>
  <c r="AJ48"/>
  <c r="AO48" s="1"/>
  <c r="AI48"/>
  <c r="AB48"/>
  <c r="V48"/>
  <c r="AM47"/>
  <c r="AL47"/>
  <c r="AK47"/>
  <c r="AJ47"/>
  <c r="AO47" s="1"/>
  <c r="AI47"/>
  <c r="AH47"/>
  <c r="AB47"/>
  <c r="V47"/>
  <c r="AM46"/>
  <c r="AL46"/>
  <c r="AK46"/>
  <c r="AJ46"/>
  <c r="AO46" s="1"/>
  <c r="AI46"/>
  <c r="AB46"/>
  <c r="V46"/>
  <c r="AM45"/>
  <c r="AL45"/>
  <c r="AK45"/>
  <c r="AJ45"/>
  <c r="AO45" s="1"/>
  <c r="AI45"/>
  <c r="AH45" s="1"/>
  <c r="AB45"/>
  <c r="V45"/>
  <c r="AM44"/>
  <c r="AL44"/>
  <c r="AK44"/>
  <c r="AJ44"/>
  <c r="AO44" s="1"/>
  <c r="AI44"/>
  <c r="AB44"/>
  <c r="V44"/>
  <c r="AM43"/>
  <c r="AL43"/>
  <c r="AK43"/>
  <c r="AJ43"/>
  <c r="AO43" s="1"/>
  <c r="AI43"/>
  <c r="AB43"/>
  <c r="V43"/>
  <c r="AM42"/>
  <c r="AL42"/>
  <c r="AK42"/>
  <c r="AJ42"/>
  <c r="AO42" s="1"/>
  <c r="AI42"/>
  <c r="AH42" s="1"/>
  <c r="AB42"/>
  <c r="V42"/>
  <c r="AM41"/>
  <c r="AL41"/>
  <c r="AK41"/>
  <c r="AJ41"/>
  <c r="AO41" s="1"/>
  <c r="AI41"/>
  <c r="AB41"/>
  <c r="V41"/>
  <c r="AM40"/>
  <c r="AL40"/>
  <c r="AK40"/>
  <c r="AJ40"/>
  <c r="AO40" s="1"/>
  <c r="AI40"/>
  <c r="AH40"/>
  <c r="AB40"/>
  <c r="V40"/>
  <c r="AM39"/>
  <c r="AL39"/>
  <c r="AK39"/>
  <c r="AJ39"/>
  <c r="AO39" s="1"/>
  <c r="AI39"/>
  <c r="AB39"/>
  <c r="V39"/>
  <c r="AM38"/>
  <c r="AL38"/>
  <c r="AK38"/>
  <c r="AJ38"/>
  <c r="AO38" s="1"/>
  <c r="AI38"/>
  <c r="AH38" s="1"/>
  <c r="AB38"/>
  <c r="V38"/>
  <c r="AM37"/>
  <c r="AL37"/>
  <c r="AK37"/>
  <c r="AJ37"/>
  <c r="AO37" s="1"/>
  <c r="AI37"/>
  <c r="AB37"/>
  <c r="V37"/>
  <c r="AM36"/>
  <c r="AL36"/>
  <c r="AK36"/>
  <c r="AJ36"/>
  <c r="AO36" s="1"/>
  <c r="AI36"/>
  <c r="AB36"/>
  <c r="V36"/>
  <c r="AM35"/>
  <c r="AL35"/>
  <c r="AK35"/>
  <c r="AJ35"/>
  <c r="AO35" s="1"/>
  <c r="AI35"/>
  <c r="AB35"/>
  <c r="V35"/>
  <c r="AM34"/>
  <c r="AL34"/>
  <c r="AK34"/>
  <c r="AJ34"/>
  <c r="AO34" s="1"/>
  <c r="AI34"/>
  <c r="AB34"/>
  <c r="V34"/>
  <c r="AM33"/>
  <c r="AL33"/>
  <c r="AK33"/>
  <c r="AJ33"/>
  <c r="AO33" s="1"/>
  <c r="AI33"/>
  <c r="AB33"/>
  <c r="V33"/>
  <c r="AM32"/>
  <c r="AL32"/>
  <c r="AK32"/>
  <c r="AJ32"/>
  <c r="AO32" s="1"/>
  <c r="AI32"/>
  <c r="AB32"/>
  <c r="V32"/>
  <c r="AM31"/>
  <c r="AL31"/>
  <c r="AK31"/>
  <c r="AJ31"/>
  <c r="AP31" s="1"/>
  <c r="AI31"/>
  <c r="AB31"/>
  <c r="V31"/>
  <c r="AM30"/>
  <c r="AL30"/>
  <c r="AK30"/>
  <c r="AJ30"/>
  <c r="AO30" s="1"/>
  <c r="AI30"/>
  <c r="AB30"/>
  <c r="V30"/>
  <c r="AM29"/>
  <c r="AL29"/>
  <c r="AK29"/>
  <c r="AJ29"/>
  <c r="AO29" s="1"/>
  <c r="AI29"/>
  <c r="AB29"/>
  <c r="V29"/>
  <c r="AM28"/>
  <c r="AL28"/>
  <c r="AK28"/>
  <c r="AJ28"/>
  <c r="AO28" s="1"/>
  <c r="AI28"/>
  <c r="AH28" s="1"/>
  <c r="AB28"/>
  <c r="V28"/>
  <c r="AM27"/>
  <c r="AL27"/>
  <c r="AK27"/>
  <c r="AJ27"/>
  <c r="AO27" s="1"/>
  <c r="AI27"/>
  <c r="AH27"/>
  <c r="AB27"/>
  <c r="V27"/>
  <c r="AM26"/>
  <c r="AL26"/>
  <c r="AK26"/>
  <c r="AJ26"/>
  <c r="AO26" s="1"/>
  <c r="AI26"/>
  <c r="AB26"/>
  <c r="V26"/>
  <c r="AM25"/>
  <c r="AL25"/>
  <c r="AK25"/>
  <c r="AJ25"/>
  <c r="AO25" s="1"/>
  <c r="AI25"/>
  <c r="AH25" s="1"/>
  <c r="AB25"/>
  <c r="V25"/>
  <c r="AM24"/>
  <c r="AL24"/>
  <c r="AK24"/>
  <c r="AJ24"/>
  <c r="AO24" s="1"/>
  <c r="AI24"/>
  <c r="AB24"/>
  <c r="V24"/>
  <c r="AM23"/>
  <c r="AL23"/>
  <c r="AK23"/>
  <c r="AJ23"/>
  <c r="AO23" s="1"/>
  <c r="AI23"/>
  <c r="AH23" s="1"/>
  <c r="AB23"/>
  <c r="V23"/>
  <c r="AM22"/>
  <c r="AL22"/>
  <c r="AK22"/>
  <c r="AJ22"/>
  <c r="AO22" s="1"/>
  <c r="AI22"/>
  <c r="AB22"/>
  <c r="V22"/>
  <c r="AM21"/>
  <c r="AL21"/>
  <c r="AK21"/>
  <c r="AJ21"/>
  <c r="AO21" s="1"/>
  <c r="AI21"/>
  <c r="AB21"/>
  <c r="V21"/>
  <c r="C21"/>
  <c r="AM20"/>
  <c r="AL20"/>
  <c r="AK20"/>
  <c r="AJ20"/>
  <c r="AO20" s="1"/>
  <c r="AI20"/>
  <c r="AB20"/>
  <c r="V20"/>
  <c r="C20"/>
  <c r="AM19"/>
  <c r="AL19"/>
  <c r="AK19"/>
  <c r="AJ19"/>
  <c r="AO19" s="1"/>
  <c r="AI19"/>
  <c r="AB19"/>
  <c r="V19"/>
  <c r="C19"/>
  <c r="AM18"/>
  <c r="AL18"/>
  <c r="AK18"/>
  <c r="AJ18"/>
  <c r="AO18" s="1"/>
  <c r="AI18"/>
  <c r="AB18"/>
  <c r="V18"/>
  <c r="C18"/>
  <c r="AM17"/>
  <c r="AL17"/>
  <c r="AK17"/>
  <c r="AJ17"/>
  <c r="AO17" s="1"/>
  <c r="AI17"/>
  <c r="AH17"/>
  <c r="AB17"/>
  <c r="V17"/>
  <c r="C17"/>
  <c r="AM16"/>
  <c r="AL16"/>
  <c r="AK16"/>
  <c r="AJ16"/>
  <c r="AO16" s="1"/>
  <c r="AI16"/>
  <c r="AB16"/>
  <c r="V16"/>
  <c r="C16"/>
  <c r="AM15"/>
  <c r="AL15"/>
  <c r="AK15"/>
  <c r="AJ15"/>
  <c r="AO15" s="1"/>
  <c r="AI15"/>
  <c r="AH15" s="1"/>
  <c r="AB15"/>
  <c r="V15"/>
  <c r="C15"/>
  <c r="D15" s="1"/>
  <c r="AM14"/>
  <c r="AL14"/>
  <c r="AK14"/>
  <c r="AJ14"/>
  <c r="AO14" s="1"/>
  <c r="AI14"/>
  <c r="AB14"/>
  <c r="V14"/>
  <c r="C14"/>
  <c r="D14" s="1"/>
  <c r="AM13"/>
  <c r="AL13"/>
  <c r="AK13"/>
  <c r="AJ13"/>
  <c r="AO13" s="1"/>
  <c r="AI13"/>
  <c r="AB13"/>
  <c r="V13"/>
  <c r="C13"/>
  <c r="D13" s="1"/>
  <c r="AM12"/>
  <c r="AL12"/>
  <c r="AK12"/>
  <c r="AJ12"/>
  <c r="AO12" s="1"/>
  <c r="AI12"/>
  <c r="AB12"/>
  <c r="V12"/>
  <c r="C12"/>
  <c r="AM11"/>
  <c r="AL11"/>
  <c r="AK11"/>
  <c r="AJ11"/>
  <c r="AO11" s="1"/>
  <c r="AI11"/>
  <c r="AB11"/>
  <c r="V11"/>
  <c r="C11"/>
  <c r="C10"/>
  <c r="C9"/>
  <c r="AM10"/>
  <c r="AL10"/>
  <c r="AK10"/>
  <c r="AJ10"/>
  <c r="AO10" s="1"/>
  <c r="AI10"/>
  <c r="AB10"/>
  <c r="V10"/>
  <c r="AM9"/>
  <c r="AL9"/>
  <c r="AK9"/>
  <c r="AJ9"/>
  <c r="AO9" s="1"/>
  <c r="AI9"/>
  <c r="AP9"/>
  <c r="AB9"/>
  <c r="V9"/>
  <c r="AH35" l="1"/>
  <c r="AH43"/>
  <c r="AH83"/>
  <c r="AH96"/>
  <c r="AH100"/>
  <c r="AH102"/>
  <c r="AH106"/>
  <c r="AH64"/>
  <c r="AH68"/>
  <c r="AH70"/>
  <c r="AH72"/>
  <c r="AH75"/>
  <c r="AH85"/>
  <c r="AH89"/>
  <c r="AH104"/>
  <c r="AH63"/>
  <c r="AH65"/>
  <c r="AH69"/>
  <c r="AH71"/>
  <c r="AH76"/>
  <c r="AH86"/>
  <c r="AH88"/>
  <c r="AP106"/>
  <c r="AP105"/>
  <c r="AP104"/>
  <c r="AP103"/>
  <c r="AP102"/>
  <c r="AP101"/>
  <c r="AP100"/>
  <c r="AP99"/>
  <c r="AP98"/>
  <c r="AH98"/>
  <c r="AP97"/>
  <c r="AP96"/>
  <c r="AP95"/>
  <c r="AP94"/>
  <c r="AH94"/>
  <c r="AP93"/>
  <c r="AP92"/>
  <c r="AP91"/>
  <c r="AP90"/>
  <c r="AP89"/>
  <c r="AP88"/>
  <c r="AP87"/>
  <c r="AP86"/>
  <c r="AP85"/>
  <c r="AP84"/>
  <c r="AP83"/>
  <c r="AP82"/>
  <c r="AP81"/>
  <c r="AP80"/>
  <c r="AP79"/>
  <c r="AP78"/>
  <c r="AP77"/>
  <c r="AP76"/>
  <c r="AO75"/>
  <c r="AP74"/>
  <c r="AP73"/>
  <c r="AH73"/>
  <c r="AP72"/>
  <c r="AP71"/>
  <c r="AP70"/>
  <c r="AP69"/>
  <c r="AP68"/>
  <c r="AP67"/>
  <c r="AP66"/>
  <c r="AP65"/>
  <c r="AP64"/>
  <c r="AP63"/>
  <c r="AH21"/>
  <c r="AH26"/>
  <c r="AH29"/>
  <c r="AH31"/>
  <c r="AH33"/>
  <c r="AH37"/>
  <c r="AH44"/>
  <c r="AH48"/>
  <c r="AH52"/>
  <c r="AH56"/>
  <c r="AH58"/>
  <c r="AH62"/>
  <c r="AH24"/>
  <c r="AH32"/>
  <c r="AH34"/>
  <c r="AH36"/>
  <c r="AH46"/>
  <c r="AH49"/>
  <c r="AH51"/>
  <c r="AH53"/>
  <c r="AH57"/>
  <c r="AH59"/>
  <c r="AP62"/>
  <c r="AP61"/>
  <c r="AH61"/>
  <c r="AP60"/>
  <c r="AH60"/>
  <c r="AP59"/>
  <c r="AP58"/>
  <c r="AP57"/>
  <c r="AP56"/>
  <c r="AP55"/>
  <c r="AP54"/>
  <c r="AP53"/>
  <c r="AP52"/>
  <c r="AP51"/>
  <c r="AP50"/>
  <c r="AH50"/>
  <c r="AP49"/>
  <c r="AP48"/>
  <c r="AP47"/>
  <c r="AP46"/>
  <c r="AP45"/>
  <c r="AP44"/>
  <c r="AP43"/>
  <c r="AH41"/>
  <c r="AP42"/>
  <c r="AP41"/>
  <c r="AP40"/>
  <c r="AP39"/>
  <c r="AH39"/>
  <c r="AP38"/>
  <c r="AP37"/>
  <c r="AP36"/>
  <c r="AP35"/>
  <c r="AP34"/>
  <c r="AP33"/>
  <c r="AP32"/>
  <c r="AO31"/>
  <c r="AP30"/>
  <c r="AH30"/>
  <c r="AP29"/>
  <c r="AP28"/>
  <c r="AP27"/>
  <c r="AP26"/>
  <c r="AP25"/>
  <c r="AP24"/>
  <c r="AP23"/>
  <c r="AP22"/>
  <c r="AH22"/>
  <c r="AP21"/>
  <c r="AH9"/>
  <c r="AH12"/>
  <c r="AH18"/>
  <c r="AH19"/>
  <c r="AH20"/>
  <c r="AH16"/>
  <c r="AP20"/>
  <c r="AP19"/>
  <c r="AP18"/>
  <c r="AP17"/>
  <c r="AP16"/>
  <c r="AP15"/>
  <c r="AP14"/>
  <c r="AH14"/>
  <c r="AH13"/>
  <c r="AP13"/>
  <c r="AP12"/>
  <c r="AP11"/>
  <c r="AH11"/>
  <c r="AH10"/>
  <c r="AP10"/>
</calcChain>
</file>

<file path=xl/sharedStrings.xml><?xml version="1.0" encoding="utf-8"?>
<sst xmlns="http://schemas.openxmlformats.org/spreadsheetml/2006/main" count="2320" uniqueCount="650">
  <si>
    <t>No.  DE OBRA</t>
  </si>
  <si>
    <t>EJECUTOR</t>
  </si>
  <si>
    <t>MUNICIPIO</t>
  </si>
  <si>
    <t>LOCALIDAD</t>
  </si>
  <si>
    <t>CONVENIO</t>
  </si>
  <si>
    <t>METAS</t>
  </si>
  <si>
    <t>FECHA INICIO / TERMINO</t>
  </si>
  <si>
    <t>MODALIDAD DE EJECUCION</t>
  </si>
  <si>
    <t>APROBACIONES</t>
  </si>
  <si>
    <t>MODIFICACIONES</t>
  </si>
  <si>
    <t>PRESUPUESTO</t>
  </si>
  <si>
    <t>FONDO</t>
  </si>
  <si>
    <t>PARTIDA PRESUPUESTAL</t>
  </si>
  <si>
    <t>E S T R U C T U R A    F I N A N C I E  R A    I N I C I A  L</t>
  </si>
  <si>
    <t xml:space="preserve">M O D I F I C A C I O N E S </t>
  </si>
  <si>
    <t xml:space="preserve">E S T R U C T U R A     F I N A N C I E  R A   F I N A L </t>
  </si>
  <si>
    <t>POR LIBERAR</t>
  </si>
  <si>
    <t>FECHA</t>
  </si>
  <si>
    <t>UNIDAD DE MEDIDA</t>
  </si>
  <si>
    <t>CANTIDAD</t>
  </si>
  <si>
    <t>BENEFICIARIOS</t>
  </si>
  <si>
    <t>CLAVE - PROGRAMA</t>
  </si>
  <si>
    <t xml:space="preserve">PERSONA </t>
  </si>
  <si>
    <t>VIVIENDA / LOCALIDAD</t>
  </si>
  <si>
    <t>OF. DE APROBACION</t>
  </si>
  <si>
    <t>OF. DE MODIFICACION</t>
  </si>
  <si>
    <t>OFICIO DE AUTORIZACION</t>
  </si>
  <si>
    <t>TOTAL</t>
  </si>
  <si>
    <t>FEDERAL</t>
  </si>
  <si>
    <t>FEIS / FAFEF / FAM</t>
  </si>
  <si>
    <t>MUNICIPAL</t>
  </si>
  <si>
    <t>OTROS</t>
  </si>
  <si>
    <t>TOTAL LIBERADO</t>
  </si>
  <si>
    <t>% LIBERADO</t>
  </si>
  <si>
    <t>ESTATAL</t>
  </si>
  <si>
    <t>LIBERADO</t>
  </si>
  <si>
    <t>REINTEGRO DEL EJECUTOR</t>
  </si>
  <si>
    <t>OBRA O ACCION</t>
  </si>
  <si>
    <t>SECRETARIA DE DESARROLLO SOCIAL Y REGIONAL DE GOBIERNO DEL ESTADO DE SAN LUIS POTOSI</t>
  </si>
  <si>
    <t>Monto que reciban del FISE:</t>
  </si>
  <si>
    <t>Monto de Intereses del FISE:</t>
  </si>
  <si>
    <t>Montos que reciban, Obras y Acciones a realizar con el FISE 2016</t>
  </si>
  <si>
    <t>2016-2681</t>
  </si>
  <si>
    <t>FISE 2016</t>
  </si>
  <si>
    <t>SANTA CATARINA</t>
  </si>
  <si>
    <t>INFORME</t>
  </si>
  <si>
    <t>SISTEMA</t>
  </si>
  <si>
    <t>2016-1534</t>
  </si>
  <si>
    <t>SAN MARTIN CHALCHICUAUTLA</t>
  </si>
  <si>
    <t>ESCUATITLA</t>
  </si>
  <si>
    <t>CONSTRUCCION DE SISTEMA DE AGUA POTABLE, LOC. ESCUATITLA, SAN MARTIN CHALCHICUAUTLA</t>
  </si>
  <si>
    <t>SC AGUA POTABLE</t>
  </si>
  <si>
    <t>15/07/2016 31/12/2016</t>
  </si>
  <si>
    <t>CONTRATO</t>
  </si>
  <si>
    <t>DGDSR-A-001/2016</t>
  </si>
  <si>
    <t>SF-DGPP/DPGI/004/2016</t>
  </si>
  <si>
    <t>FISE 2016 03-05-002-201-05-33-001-6322</t>
  </si>
  <si>
    <t>2016-1797</t>
  </si>
  <si>
    <t>MATLAPA</t>
  </si>
  <si>
    <t>TEXQUITOTE SEGUNDO</t>
  </si>
  <si>
    <t>CONSTRUCCION DE SISTEMA DE ABASTECIMIENTO DE AGUA POTABLE, LOC. TEXQUITOTE SEGUNDO, MATLAPA</t>
  </si>
  <si>
    <t>18/07/2016 31/12/2016</t>
  </si>
  <si>
    <t>DGDSR-A-002/2016</t>
  </si>
  <si>
    <t>2016-2053</t>
  </si>
  <si>
    <t>AXTLA DE TERRAZAS</t>
  </si>
  <si>
    <t>COATZONTITLA</t>
  </si>
  <si>
    <t>REHABILITACION DEL SISTEMA REGIONAL DE AGUA POTABLE CUAYO CERRO (11 LOCALIDADES), COATZONTITLA, AXTLA DE TERRAZAS</t>
  </si>
  <si>
    <t>DGDSR-A-003/2016</t>
  </si>
  <si>
    <t>2016-2673</t>
  </si>
  <si>
    <t>TAMPAMOLON CORONA</t>
  </si>
  <si>
    <t>TONATICO</t>
  </si>
  <si>
    <t>CONSTRUCCION DE RED DE DRENAJE SANITARIO, TONATICO, TAMPAMOLON CORONA</t>
  </si>
  <si>
    <t>SD ALCANTARILLADO Y DRENAJE</t>
  </si>
  <si>
    <t>ML</t>
  </si>
  <si>
    <t>25/07/2016 31/12/2016</t>
  </si>
  <si>
    <t>DGDSR-A-004/2016</t>
  </si>
  <si>
    <t>SEDESORE</t>
  </si>
  <si>
    <t>SERVICIOS PROFESIONALES, CIENTIFICOS, TECNICOS Y OTROS SERVICIOS, GASTOS INDIRECTOS - SERVICIOS GENERALES</t>
  </si>
  <si>
    <t>U6 GASTOS INDIRECTOS</t>
  </si>
  <si>
    <t>16/05/2016 31/12/2016</t>
  </si>
  <si>
    <t>AD. DIRECTA</t>
  </si>
  <si>
    <t>DGDSR-A-005/2016</t>
  </si>
  <si>
    <t>2016-2905</t>
  </si>
  <si>
    <t>SAN VICENTE TANCUAYALAB</t>
  </si>
  <si>
    <t>CONSTRUCCION DE DRENAJE SANITARIO PARA LA COL. LAS GRANJAS, SAN VICENTE TANCUAYALAB</t>
  </si>
  <si>
    <t>15/08/2016 31/12/2016</t>
  </si>
  <si>
    <t>DGDSR-A-006/2016</t>
  </si>
  <si>
    <t>2016-3170</t>
  </si>
  <si>
    <t>VANEGAS</t>
  </si>
  <si>
    <t>CONSTRUCCION DE RED DE DRENAJE SANITARIO, COL. BARRIO DE SANTIAGO, (1a. ETAPA), VANEGAS</t>
  </si>
  <si>
    <t>01/08/2016 31/12/2016</t>
  </si>
  <si>
    <t>DGDSR-A-007/2016</t>
  </si>
  <si>
    <t>2016-3714</t>
  </si>
  <si>
    <t>MOCTEZUMA</t>
  </si>
  <si>
    <t>EL RETIRO</t>
  </si>
  <si>
    <t>PERFORACION DE POZO PARA AGUA POTABLE A 300 MTS. DE PROFUNDIDAD, LOC. EL RETIRO, MOCTEZUMA</t>
  </si>
  <si>
    <t>OBRA</t>
  </si>
  <si>
    <t>DGDSR-A-008/2016</t>
  </si>
  <si>
    <t>2016-3720</t>
  </si>
  <si>
    <t>TANCANHUITZ DE SANTOS</t>
  </si>
  <si>
    <t>PALMIRA NUEVO</t>
  </si>
  <si>
    <t>CONSTRUCCION DE SISTEMA DE AGUA POTABLE, LOC. PALMIRA NUEVO, TANCANHUITZ DE SANTOS</t>
  </si>
  <si>
    <t>DGDSR-A-009/2016</t>
  </si>
  <si>
    <t>2016-3760</t>
  </si>
  <si>
    <t>SAN ANTONIO</t>
  </si>
  <si>
    <t>TAN JAJNEC</t>
  </si>
  <si>
    <t>REHABILITACION DE LA RED DE DISTRIBUCION DE AGUA POTABLE, TAN JAJNEC, SAN ANTONIO</t>
  </si>
  <si>
    <t>16/08/2016 31/12/2016</t>
  </si>
  <si>
    <t>DGDSR-A-010/2016</t>
  </si>
  <si>
    <t>2016-3771</t>
  </si>
  <si>
    <t>TANLAJAS</t>
  </si>
  <si>
    <t>QUELABITAD CUARESMA</t>
  </si>
  <si>
    <t>CONSTRUCCION DE SISTEMA REGIONAL DE AGUA POTABLE EN TOCOYMOHOM, QUELABITAD CUARESTA, TRES CRUCES, TANLAJAS</t>
  </si>
  <si>
    <t>DGDSR-A-011/2016</t>
  </si>
  <si>
    <t>2016-3770</t>
  </si>
  <si>
    <t>XILITLA</t>
  </si>
  <si>
    <t>ARROYO SECO</t>
  </si>
  <si>
    <t>CONSTRUCCION DE SISTEMA DE AGUA POTABLE, LOC. ARROYO SECO, XILITLA</t>
  </si>
  <si>
    <t>25/08/2016 31/12/2016</t>
  </si>
  <si>
    <t>DGDSR-A-012/2016</t>
  </si>
  <si>
    <t>2016-3792</t>
  </si>
  <si>
    <t>COXCATLAN</t>
  </si>
  <si>
    <t>BARRIO TEPETZINTLA DOS</t>
  </si>
  <si>
    <t>CONSTRUCCION DE RED DE DRENAJE SANITARIO, BARRIO TEPETZINTLA DOS, COXCATLAN</t>
  </si>
  <si>
    <t>29/08/2016 31/12/2016</t>
  </si>
  <si>
    <t>DGDSR-A-013/2016</t>
  </si>
  <si>
    <t>2016-3789</t>
  </si>
  <si>
    <t>CEA</t>
  </si>
  <si>
    <t>AQUISMON</t>
  </si>
  <si>
    <t>TANUTE</t>
  </si>
  <si>
    <t>CONSTRUCCION DE SISTEMA DE DRENAJE SANITARIO, LOC. TANUTE, AQUISMON</t>
  </si>
  <si>
    <t>24/08/2016 31/12/2016</t>
  </si>
  <si>
    <t>DGDSR-A-014/2016</t>
  </si>
  <si>
    <t>2016-3790</t>
  </si>
  <si>
    <t>SAN NICOLAS TOLENTINO</t>
  </si>
  <si>
    <t>CONSTRUCCION DE ABASTECIMIENTO DE AGUA POTABLE (2a. ETAPA), LOC. SANTA CATARINA, SAN NICOLAS TOLENTINO</t>
  </si>
  <si>
    <t>DGDSR-A-015/2016</t>
  </si>
  <si>
    <t>2016-3797</t>
  </si>
  <si>
    <t>CARDENAS</t>
  </si>
  <si>
    <t>CONSTRUCCION DE PLANTA DE TRATAMIENTO DE AGUAS RESIDUALES (1a. ETAPA), CARDENAS</t>
  </si>
  <si>
    <t>S6 TRATAMIENTO Y DISPOSICION DE AGUAS RESIDUALES</t>
  </si>
  <si>
    <t>DGDSR-A-016/2016</t>
  </si>
  <si>
    <t>2016-4885</t>
  </si>
  <si>
    <t>DGDSR-A-017/2016</t>
  </si>
  <si>
    <t>2016-4877</t>
  </si>
  <si>
    <t>MANCHOC</t>
  </si>
  <si>
    <t>PAVIMENTACION CON CONCRETO HIDRAULICO EN CALLE PRINCIPAL, LOC. MANCHOC, SAN MARTIN CHALCHICUAUTLA</t>
  </si>
  <si>
    <t>SE URBANIZACION</t>
  </si>
  <si>
    <t>M2</t>
  </si>
  <si>
    <t>01/09/2016 31/12/2016</t>
  </si>
  <si>
    <t>DGDSR-A-018/2016</t>
  </si>
  <si>
    <t>2016-4876</t>
  </si>
  <si>
    <t>OCUILTZAPOYO</t>
  </si>
  <si>
    <t>PAVIMENTACION CON CONCRETO HIDRAULICO CALLE IGNACIO ZARAGOZA, LOC. OCUILTZAPOYO, SAN MARTIN CHALCHICUAUTLA</t>
  </si>
  <si>
    <t>DGDSR-A-019/2016</t>
  </si>
  <si>
    <t>2016-4878</t>
  </si>
  <si>
    <t>BARRANQUILLAS (TEPETZINTLA)</t>
  </si>
  <si>
    <t>PAVIMENTACION CON CONCRETO HIDRAULICO CALLE ALDAMA, LOC. BARRANQUILLAS (TEPETZINTLA), SAN MARTIN CHALCHICUAUTLA</t>
  </si>
  <si>
    <t>DGDSR-A-020/2016</t>
  </si>
  <si>
    <t>2016-4879</t>
  </si>
  <si>
    <t>ALTE ANAM (LA BANQUETA)</t>
  </si>
  <si>
    <t>SUMINISTRO DE PANELES SOLARES, ALTE ANAM (LA BANQUETA), AQUISMON</t>
  </si>
  <si>
    <t>SG ELECTRIFICACION</t>
  </si>
  <si>
    <t>EQUIPO</t>
  </si>
  <si>
    <t>05/09/2016 31/12/2016</t>
  </si>
  <si>
    <t>DGDSR-A-021/2016</t>
  </si>
  <si>
    <t>2016-4880</t>
  </si>
  <si>
    <t>EUREKA</t>
  </si>
  <si>
    <t>SUMINISTRO DE PANELES SOLARES, EUREKA, AQUISMON</t>
  </si>
  <si>
    <t>2016-4881</t>
  </si>
  <si>
    <t>TAMCUEM</t>
  </si>
  <si>
    <t>SUMINISTRO DE PANELES SOLARES, TAMCUEM, AQUISMON</t>
  </si>
  <si>
    <t>2016-4882</t>
  </si>
  <si>
    <t>MANTEZULEL</t>
  </si>
  <si>
    <t>SUMINISTRO DE PANELES SOLARES, MANTEZULEL, AQUISMON</t>
  </si>
  <si>
    <t>2016-4883</t>
  </si>
  <si>
    <t>NCPE SANTA ANITA</t>
  </si>
  <si>
    <t>SUMINISTRO DE PANELES SOLARES, NCPE SANTA ANITA, AQUISMON</t>
  </si>
  <si>
    <t>2016-4884</t>
  </si>
  <si>
    <t>OCTUJUB O CAMPECHE</t>
  </si>
  <si>
    <t>SUMINISTRO DE PANELES SOLARES, OCTUJUB O CAMPECHE, AQUISMON</t>
  </si>
  <si>
    <t>2016-4886</t>
  </si>
  <si>
    <t>CEDRAL</t>
  </si>
  <si>
    <t>PAVIMENTACION CON CONCRETO HIDRAULICO CALLE LIRIO, ROSALES, TULIPAN, AMINA MADERA, JOAQUIN DE VELAZCO Y LOPE DE VEGA, COL. LA UNION, CEDRAL</t>
  </si>
  <si>
    <t>DGDSR-A-022/2016</t>
  </si>
  <si>
    <t>2016-4888</t>
  </si>
  <si>
    <t>RAYON</t>
  </si>
  <si>
    <t>PAVIMENTACION CON CONCRETO HIDRAULICO CALLE CUAUHTEMOTZIN, BARRIO SAN JOSE, RAYON</t>
  </si>
  <si>
    <t>DGDSR-A-023/2016</t>
  </si>
  <si>
    <t>2016-4887</t>
  </si>
  <si>
    <t>PAVIMENTACION CON CONCRETO HIDRAULICO CALLE GENOVEVO RIVAS GUILLEN, BARRIO DEL REFUGIO, RAYON</t>
  </si>
  <si>
    <t>DGDSR-A-024/2016</t>
  </si>
  <si>
    <t>2016-4914</t>
  </si>
  <si>
    <t>DGDSR-A-025/2016</t>
  </si>
  <si>
    <t>2016-5158</t>
  </si>
  <si>
    <t>TANCUICHE</t>
  </si>
  <si>
    <t>SUMINISTRO E INSTALACION DE PANELES SOLARES, TANCUICHE, SAN VICENTE TANCUAYALAB</t>
  </si>
  <si>
    <t>DGDSR-A-026/2016</t>
  </si>
  <si>
    <t>2016-5159</t>
  </si>
  <si>
    <t>EL CHOTE</t>
  </si>
  <si>
    <t>SUMINISTRO E INSTALACION DE PANELES SOLARES, EL CHOTE, SAN VICENTE TANCUAYALAB</t>
  </si>
  <si>
    <t>2016-5161</t>
  </si>
  <si>
    <t>EL JOBO</t>
  </si>
  <si>
    <t>SUMINISTRO E INSTALACION DE PANELES SOLARES, EL JOBO, SAN VICENTE TANCUAYALAB</t>
  </si>
  <si>
    <t>2016-5162</t>
  </si>
  <si>
    <t>NUEVO CENTRO DE POBLACION BENITO JUAREZ</t>
  </si>
  <si>
    <t>SUMINISTRO E INSTALACION DE PANELES SOLARES, NUEVO CENTRO DE POBLACION BENITO JUAREZ, SAN VICENTE TANCUAYALAB</t>
  </si>
  <si>
    <t>2016-5163</t>
  </si>
  <si>
    <t>SAN FRANCISCO CUAYALAB</t>
  </si>
  <si>
    <t>SUMINISTRO E INSTALACION DE PANELES SOLARES, SAN FRANCISCO CUAYALAB, SAN VICENTE TANCUAYALAB</t>
  </si>
  <si>
    <t>2016-5164</t>
  </si>
  <si>
    <t>TAMUIN</t>
  </si>
  <si>
    <t>NUEVO AQUISMON</t>
  </si>
  <si>
    <t>CONSTRUCCION DE SANITARIOS BIODIGESTORES, NUEVO AQUISMON, TAMUIN</t>
  </si>
  <si>
    <t>SH MEJORAMIENTO DE VIVIENDA</t>
  </si>
  <si>
    <t>ACCION</t>
  </si>
  <si>
    <t>DGDSR-A-027/2016</t>
  </si>
  <si>
    <t>2016-5204</t>
  </si>
  <si>
    <t>COAMIXCO</t>
  </si>
  <si>
    <t>2016-5205</t>
  </si>
  <si>
    <t>CONSTRUCCION DE SANITARIOS ECOLOGICOS HUMEDOS, COAMIXCO, SAN MARTIN CHALCHICUAUTLA</t>
  </si>
  <si>
    <t>ZAPOTAL</t>
  </si>
  <si>
    <t>CONSTRUCCION DE SANITARIOS ECOLOGICOS HUMEDOS, ZAPOTAL, SAN MARTIN CHALCHICUAUTLA</t>
  </si>
  <si>
    <t>2016-5206</t>
  </si>
  <si>
    <t>LA CEIBITA</t>
  </si>
  <si>
    <t>CONSTRUCCION DE SANITARIOS ECOLOGICOS HUMEDOS, LA CEIBITA, SAN MARTIN CHALCHICUAUTLA</t>
  </si>
  <si>
    <t>31/08/2016 31/12/2016</t>
  </si>
  <si>
    <t>DGDSR-A-028/2016</t>
  </si>
  <si>
    <t>2016-5228</t>
  </si>
  <si>
    <t>CARBONERA COAQUENTLA</t>
  </si>
  <si>
    <t>SUMINISTRO E INSTALACION DE PANELES SOLARES, CARBONERA COAQUENTLA, MATLAPA</t>
  </si>
  <si>
    <t>DGDSR-A-029/2016</t>
  </si>
  <si>
    <t>2016-5229</t>
  </si>
  <si>
    <t>LA ISLA</t>
  </si>
  <si>
    <t>SUMINISTRO E INSTALACION DE PANELES SOLARES, LA ISLA, MATLAPA</t>
  </si>
  <si>
    <t>2016-5230</t>
  </si>
  <si>
    <t>LA TINAJA</t>
  </si>
  <si>
    <t>SUMINISTRO E INSTALACION DE PANELES SOLARES, LA TINAJA, MATLAPA</t>
  </si>
  <si>
    <t>2016-5231</t>
  </si>
  <si>
    <t>AHUEHUEYO SEGUNDO</t>
  </si>
  <si>
    <t>CONSTRUCCION DE SANITARIOS ECOLOGICOS HUMEDOS, AHUEHUEYO SEGUNDO, MATLAPA</t>
  </si>
  <si>
    <t>DGDSR-A-030/2016</t>
  </si>
  <si>
    <t>2016-5232</t>
  </si>
  <si>
    <t>CONSTRUCCION DE SANITARIOS ECOLOGICOS HUMEDOS, SAN ANTONIO, MATLAPA</t>
  </si>
  <si>
    <t>2016-5617</t>
  </si>
  <si>
    <t>LAGUNILLAS</t>
  </si>
  <si>
    <t>SAN ISIDRO</t>
  </si>
  <si>
    <t>SUMINISTRO E INSTALACION DE PANELES SOLARES, SAN ISIDRO, LAGUNILLAS</t>
  </si>
  <si>
    <t>DGDSR-A-031/2016</t>
  </si>
  <si>
    <t>2016-5618</t>
  </si>
  <si>
    <t>TANQUE BLANCO</t>
  </si>
  <si>
    <t>SUMINISTRO E INSTALACION DE PANELES SOLARES, TANQUE BLANCO, LAGUNILLAS</t>
  </si>
  <si>
    <t>2016-5619</t>
  </si>
  <si>
    <t>SUMINISTRO E INSTALACION DE PANELES SOLARES,  LAGUNILLAS</t>
  </si>
  <si>
    <t>2016-5620</t>
  </si>
  <si>
    <t>EL MIRADOR (EL PEDREGAL)</t>
  </si>
  <si>
    <t>SUMINISTRO E INSTALACION DE PANELES SOLARES,  EL MIRADOR (EL PEDREGAL), LAGUNILLAS</t>
  </si>
  <si>
    <t>2016-5621</t>
  </si>
  <si>
    <t>SAN AGUSTIN</t>
  </si>
  <si>
    <t>SUMINISTRO E INSTALACION DE PANELES SOLARES,  SAN AGUSTIN, LAGUNILLAS</t>
  </si>
  <si>
    <t>2016-5622</t>
  </si>
  <si>
    <t>LA LINEA</t>
  </si>
  <si>
    <t>SUMINISTRO E INSTALACION DE PANELES SOLARES,  LA LINEA, LAGUNILLAS</t>
  </si>
  <si>
    <t>2016-5895</t>
  </si>
  <si>
    <t>CHICAXTITLA</t>
  </si>
  <si>
    <t>CONSTRUCCION DE SANITARIOS ECOLOGICOS HUMEDOS, CHICAXTITLA, AXTLA DE TERRAZAS</t>
  </si>
  <si>
    <t>DGDSR-A-032/2016</t>
  </si>
  <si>
    <t>2016-5896</t>
  </si>
  <si>
    <t>XOCOYO (CHALCO)</t>
  </si>
  <si>
    <t>CONSTRUCCION DE SANITARIOS ECOLOGICOS HUMEDOS, XOCOYO (CHALCO), AXTLA DE TERRAZAS</t>
  </si>
  <si>
    <t>2016-5899</t>
  </si>
  <si>
    <t>VILLA DE ARISTA</t>
  </si>
  <si>
    <t>PAVIMENTACION DE CONCRETO HIDRAULICO PRIVADA NIÑOS HEROES, VILLA DE ARISTA</t>
  </si>
  <si>
    <t>19/09/2016 31/12/2016</t>
  </si>
  <si>
    <t>DGDSR-A-033/2016</t>
  </si>
  <si>
    <t>2016-5900</t>
  </si>
  <si>
    <t>PAVIMENTACION DE CONCRETO HIDRAULICO CALLE 20 DE NOVIEMBRE, VILLA DE ARISTA</t>
  </si>
  <si>
    <t>DGDSR-A-034/2016</t>
  </si>
  <si>
    <t>2016-5898</t>
  </si>
  <si>
    <t>PAVIMENTACION DE CONCRETO HIDRAULICO CALLE 16 DE SEPTIEMBRE, VILLA DE ARISTA</t>
  </si>
  <si>
    <t>DGDSR-A-035/2016</t>
  </si>
  <si>
    <t>2016-5901</t>
  </si>
  <si>
    <t>PAVIMENTACION DE CONCRETO HIDRAULICO CALLE CUAUHTEMOC, VILLA DE ARISTA</t>
  </si>
  <si>
    <t>DGDSR-A-036/2016</t>
  </si>
  <si>
    <t>2016-5911</t>
  </si>
  <si>
    <t>COMUNIDAD CALMECAYO</t>
  </si>
  <si>
    <t>SUMINISTRO E INSTALACION DE PANELES SOLARES, COMUNIDAD CALMECAYO, COXCATLAN</t>
  </si>
  <si>
    <t>DGDSR-A-037/2016</t>
  </si>
  <si>
    <t>2016-5912</t>
  </si>
  <si>
    <t>IXPATLACH</t>
  </si>
  <si>
    <t>SUMINISTRO E INSTALACION DE PANELES SOLARES, IXPATLACH, COXCATLAN</t>
  </si>
  <si>
    <t>2016-5913</t>
  </si>
  <si>
    <t>POCHOTITLA</t>
  </si>
  <si>
    <t>SUMINISTRO E INSTALACION DE PANELES SOLARES, POCHOTITLA, COXCATLAN</t>
  </si>
  <si>
    <t>2016-5914</t>
  </si>
  <si>
    <t xml:space="preserve">SAN FRANCISCO   </t>
  </si>
  <si>
    <t>SUMINISTRO E INSTALACION DE PANELES SOLARES, SAN FRANCISCO, COXCATLAN</t>
  </si>
  <si>
    <t>2016-5915</t>
  </si>
  <si>
    <t>SAN PABLO PRIMERO</t>
  </si>
  <si>
    <t>SUMINISTRO E INSTALACION DE PANELES SOLARES, SAN PABLO PRIMERO, COXCATLAN</t>
  </si>
  <si>
    <t>2016-5916</t>
  </si>
  <si>
    <t>TLAPANI</t>
  </si>
  <si>
    <t>SUMINISTRO E INSTALACION DE PANELES SOLARES, TLAPANI, COXCATLAN</t>
  </si>
  <si>
    <t>2016-5917</t>
  </si>
  <si>
    <t>TLAXCO</t>
  </si>
  <si>
    <t>SUMINISTRO E INSTALACION DE PANELES SOLARES, TLAXCO, COXCATLAN</t>
  </si>
  <si>
    <t>2016-5918</t>
  </si>
  <si>
    <t>TEPOTZUAPA PRIMERA SECCION</t>
  </si>
  <si>
    <t>SUMINISTRO E INSTALACION DE PANELES SOLARES, TEPOTZUAPA PRIMERA SECCION, COXCATLAN</t>
  </si>
  <si>
    <t>2016-5908</t>
  </si>
  <si>
    <t>AQUICHE</t>
  </si>
  <si>
    <t>SUMINISTRO E INSTALACION DE PANELES SOLARES, AQUICHE, SAN ANTONIO</t>
  </si>
  <si>
    <t>DGDSR-A-038/2016</t>
  </si>
  <si>
    <t>2016-5909</t>
  </si>
  <si>
    <t>TANJAJNEC SEGUNDO LOTE</t>
  </si>
  <si>
    <t>SUMINISTRO E INSTALACION DE PANELES SOLARES, TANJAJNEC SEGUNDO LOTE, SAN ANTONIO</t>
  </si>
  <si>
    <t>2016-5910</t>
  </si>
  <si>
    <t>TZITZIY</t>
  </si>
  <si>
    <t>SUMINISTRO E INSTALACION DE PANELES SOLARES, TZITZIY, SAN ANTONIO</t>
  </si>
  <si>
    <t>2016-5409</t>
  </si>
  <si>
    <t>AHUALULCO</t>
  </si>
  <si>
    <t>CERRITO DE ROJAS</t>
  </si>
  <si>
    <t>MODERNIZACION DE CAMINO DE CRREITO DE ROAJAS A ESTACION IPIÑA 2a. ETAPA, CERRITO DE ROJAS, AHUALULCO</t>
  </si>
  <si>
    <t>UB CAMINOS RURALES</t>
  </si>
  <si>
    <t>KM</t>
  </si>
  <si>
    <t>F144/SDSH-P3X1/AP/1953/16</t>
  </si>
  <si>
    <t>2016-5235</t>
  </si>
  <si>
    <t>CD. DEL MAIZ</t>
  </si>
  <si>
    <t>PAVIMENTACION CON CONCRETO HIDRAULICO CALLES VIOLETA, NOGALES Y FRESNOS, CD. DEL MAIZ</t>
  </si>
  <si>
    <t>F144/SDSH-P3X1/AP/1954/16</t>
  </si>
  <si>
    <t>2016-5150</t>
  </si>
  <si>
    <t>JALPILLA</t>
  </si>
  <si>
    <t>PAVIMENTACION CALLES NIÑOS HEROES, IGNACIO ALLENDE, JOSE MARIA MORELOS Y BENITO JUAREZ, JALPILLA, AXTLA DE TERRAZAS</t>
  </si>
  <si>
    <t>F144/SDSH-P3X1/AP/1955/16</t>
  </si>
  <si>
    <t>2016-5319</t>
  </si>
  <si>
    <t>CERRO DE SAN PEDRO</t>
  </si>
  <si>
    <t>PORTEZUELO</t>
  </si>
  <si>
    <t>PAVIMENTACION DE CALLES JIMENEZ, ALDAMA Y FRANCISCO VILLA, PORTEZUELO, CERRO DE SAN PEDRO</t>
  </si>
  <si>
    <t>F144/SDSH-P3X1/AP/1956/16</t>
  </si>
  <si>
    <t>2016-5146</t>
  </si>
  <si>
    <t>PAVIMENTACION CALLE JUAREZ ENTRE CALLE REYES Y MARIANO JIMENEZ, RAYON</t>
  </si>
  <si>
    <t>F144/SDSH-P3X1/AP/1958/16</t>
  </si>
  <si>
    <t>2016-5209</t>
  </si>
  <si>
    <t>VILLA DE ARRIAGA</t>
  </si>
  <si>
    <t>EL TEPETATE</t>
  </si>
  <si>
    <t>PAVIMENTACION CON CONCRETO HIDRAULICO CALLE MIGUEL HIDALGO, EL TEPETATE, VILLA DE ARRIAGA</t>
  </si>
  <si>
    <t>F144/SDSH-P3X1/AP/1959/16</t>
  </si>
  <si>
    <t>2016-5262</t>
  </si>
  <si>
    <t>PAVIMENTACION CALLES CARRANZA, 5 DE MAYO Y FRANCISCO SARABIA, TANLAJAS</t>
  </si>
  <si>
    <t>F144/SDSH-P3X1/AP/1961/16</t>
  </si>
  <si>
    <t>2016-5332</t>
  </si>
  <si>
    <t>ARMADILLO DE LOS INFANTE</t>
  </si>
  <si>
    <t>PAVIMENTACION CALLE VALENTIN MEZA ENTRE LA NORIA Y CALLE SIN NOMBRE, CON PIEDRA BOLA Y FRANJAS DE PIEDRA LAJA, ARMADILLO DE LOS INFANTE</t>
  </si>
  <si>
    <t>F144/SDSH-P3X1/AP/1962/16</t>
  </si>
  <si>
    <t>2016-5906</t>
  </si>
  <si>
    <t>TEPETZINTLA</t>
  </si>
  <si>
    <t>RED DE DISTRIBUCION PARA ABASTECIMIENTO DE AGUA POTABLE, TEPETZINTLA (SAN ANTONIO), MATLAPA</t>
  </si>
  <si>
    <t>15/09/2016 31/12/2016</t>
  </si>
  <si>
    <t>F144/SDSH-P3X1/AP/2823-5/16</t>
  </si>
  <si>
    <t>2016-5897</t>
  </si>
  <si>
    <t>CONSTRUCCION DE OBRA DE PAVIMENTACION DEL CAMINO EL RETIRO - PIEDRA AZUL, TRAMO KM. 0+000 AL KM. 2+200, EL RETIRO, MOCTEZUMA</t>
  </si>
  <si>
    <t>15/09/2016 15/12/2016</t>
  </si>
  <si>
    <t>F144/SDSH-P3X1/AP/2823-6/16</t>
  </si>
  <si>
    <t>2016-4921</t>
  </si>
  <si>
    <t>INVIES</t>
  </si>
  <si>
    <t>CONSTRUCCION DE RECAMARAS ADICIONALES, VILLA DE ARISTA</t>
  </si>
  <si>
    <t>21/06/2016 31/12/2016</t>
  </si>
  <si>
    <t>2016-4922</t>
  </si>
  <si>
    <t>SEDATU-3095-B</t>
  </si>
  <si>
    <t>2016-4923</t>
  </si>
  <si>
    <t>2016-5073</t>
  </si>
  <si>
    <t>RIOVERDE</t>
  </si>
  <si>
    <t>CONSTRUCCION DE RECAMARAS ADICIONALES, RIOVERDE</t>
  </si>
  <si>
    <t>SEDATU-3100-A</t>
  </si>
  <si>
    <t>2016-4889</t>
  </si>
  <si>
    <t>CHAPALAMEL</t>
  </si>
  <si>
    <t>CONSTRUCCION DE RECAMARAS ADICIONALES, CHAPALAMEL, TANCANHUITZ DE SANTOS</t>
  </si>
  <si>
    <t>SEDATU-3106-A</t>
  </si>
  <si>
    <t>2016-4890</t>
  </si>
  <si>
    <t>CUATLAMAYAN</t>
  </si>
  <si>
    <t>CONSTRUCCION DE RECAMARAS ADICIONALES, CUATLAMAYAN, TANCANHUITZ DE SANTOS</t>
  </si>
  <si>
    <t>2016-4891</t>
  </si>
  <si>
    <t>CUAYO</t>
  </si>
  <si>
    <t>CONSTRUCCION DE RECAMARAS ADICIONALES, CUAYO, TANCANHUITZ DE SANTOS</t>
  </si>
  <si>
    <t>2016-4892</t>
  </si>
  <si>
    <t>ZOJUALO</t>
  </si>
  <si>
    <t>CONSTRUCCION DE RECAMARAS ADICIONALES, ZOJUALO, TANCANHUITZ DE SANTOS</t>
  </si>
  <si>
    <t>2016-5166</t>
  </si>
  <si>
    <t>AJACACO</t>
  </si>
  <si>
    <t>CONSTRUCCION DE RECAMARAS ADICIONALES, AJACACO, COXCATLAN</t>
  </si>
  <si>
    <t>SEDATU-3110-A</t>
  </si>
  <si>
    <t>2016-5167</t>
  </si>
  <si>
    <t>COAMILA</t>
  </si>
  <si>
    <t>CONSTRUCCION DE RECAMARAS ADICIONALES, COAMILA, COXCATLAN</t>
  </si>
  <si>
    <t>2016-5168</t>
  </si>
  <si>
    <t>COMUNIDAD TEPETZINTLA</t>
  </si>
  <si>
    <t>CONSTRUCCION DE RECAMARAS ADICIONALES, COMUNIDAD TEPETZINTLA, COXCATLAN</t>
  </si>
  <si>
    <t>2016-5169</t>
  </si>
  <si>
    <t>EL SABINO</t>
  </si>
  <si>
    <t>CONSTRUCCION DE RECAMARAS ADICIONALES, EL SABINO, COXCATLAN</t>
  </si>
  <si>
    <t>2016-5170</t>
  </si>
  <si>
    <t>LOS JOBOS PRIMERA SECCION</t>
  </si>
  <si>
    <t>CONSTRUCCION DE RECAMARAS ADICIONALES, LOS JOBOS PRIMERA SECCION, COXCATLAN</t>
  </si>
  <si>
    <t>2016-5171</t>
  </si>
  <si>
    <t>PLAN DE LOS JOBOS SEGUNDA SECCION</t>
  </si>
  <si>
    <t>CONSTRUCCION DE RECAMARAS ADICIONALES, PLAN DE LOS JOBOS SEGUNDA SECCION, COXCATLAN</t>
  </si>
  <si>
    <t>2016-5172</t>
  </si>
  <si>
    <t>SAN ANDRES</t>
  </si>
  <si>
    <t>CONSTRUCCION DE RECAMARAS ADICIONALES, SAN ANDRES, COXCATLAN</t>
  </si>
  <si>
    <t>2016-5173</t>
  </si>
  <si>
    <t>SAN BERNAL</t>
  </si>
  <si>
    <t>CONSTRUCCION DE RECAMARAS ADICIONALES, SAN BERNAL, COXCATLAN</t>
  </si>
  <si>
    <t>2016-5174</t>
  </si>
  <si>
    <t>SUCHIACO</t>
  </si>
  <si>
    <t>CONSTRUCCION DE RECAMARAS ADICIONALES, SUCHIACO, COXCATLAN</t>
  </si>
  <si>
    <t>2016-5175</t>
  </si>
  <si>
    <t>TAMPUCHON</t>
  </si>
  <si>
    <t>CONSTRUCCION DE RECAMARAS ADICIONALES, TAMPUCHON, COXCATLAN</t>
  </si>
  <si>
    <t>2016-5176</t>
  </si>
  <si>
    <t>CONSTRUCCION DE RECAMARAS ADICIONALES, TEPOTZUAPA PRIMERA SECCION, COXCATLAN</t>
  </si>
  <si>
    <t>2016-5177</t>
  </si>
  <si>
    <t>CONSTRUCCION DE RECAMARAS ADICIONALES, TLAPANI, COXCATLAN</t>
  </si>
  <si>
    <t>2016-5178</t>
  </si>
  <si>
    <t>MAYTLA (EL CIRUELO)</t>
  </si>
  <si>
    <t>CONSTRUCCION DE RECAMARAS ADICIONALES, MAYTLA (EL CIRUELO), COXCATLAN</t>
  </si>
  <si>
    <t>2016-4927</t>
  </si>
  <si>
    <t>AJUATITLA SEGUNDA SECCION</t>
  </si>
  <si>
    <t>CONSTRUCCION DE RECAMARAS ADICIONALES, AJUATITLA SEGUNDA SECCION, COXCATLAN</t>
  </si>
  <si>
    <t>2016-4926</t>
  </si>
  <si>
    <t>EJIDO CALMECAYO</t>
  </si>
  <si>
    <t>CONSTRUCCION DE RECAMARAS ADICIONALES, EJIDO CALMECAYO, COXCATLAN</t>
  </si>
  <si>
    <t>2016-4928</t>
  </si>
  <si>
    <t>EJIDO NUEVO CALMECAYO</t>
  </si>
  <si>
    <t>CONSTRUCCION DE RECAMARAS ADICIONALES, EJIDO NUEVO CALMECAYO, COXCATLAN</t>
  </si>
  <si>
    <t>2016-4929</t>
  </si>
  <si>
    <t>PALZOQUILLO</t>
  </si>
  <si>
    <t>CONSTRUCCION DE RECAMARAS ADICIONALES, PALZOQUILLO, COXCATLAN</t>
  </si>
  <si>
    <t>2016-4930</t>
  </si>
  <si>
    <t>PETLACOYO</t>
  </si>
  <si>
    <t>CONSTRUCCION DE RECAMARAS ADICIONALES, PETLACOYO, COXCATLAN</t>
  </si>
  <si>
    <t>2016-4931</t>
  </si>
  <si>
    <t>PICHOLCO</t>
  </si>
  <si>
    <t>CONSTRUCCION DE RECAMARAS ADICIONALES, PICHOLCO, COXCATLAN</t>
  </si>
  <si>
    <t>2016-4932</t>
  </si>
  <si>
    <t>CONSTRUCCION DE RECAMARAS ADICIONALES, SAN PABLO PRIMERO, COXCATLAN</t>
  </si>
  <si>
    <t>2016-4933</t>
  </si>
  <si>
    <t>TAZAQUIL EJIDO</t>
  </si>
  <si>
    <t>CONSTRUCCION DE RECAMARAS ADICIONALES, TAZAQUIL EJIDO, COXCATLAN</t>
  </si>
  <si>
    <t>2016-4934</t>
  </si>
  <si>
    <t>2016-4935</t>
  </si>
  <si>
    <t>TOTOATL</t>
  </si>
  <si>
    <t>CONSTRUCCION DE RECAMARAS ADICIONALES, TOTOATL, COXCATLAN</t>
  </si>
  <si>
    <t>2016-3716</t>
  </si>
  <si>
    <t>ATLAMAXATL</t>
  </si>
  <si>
    <t>SEDATU-3089-A</t>
  </si>
  <si>
    <t>2016-3717</t>
  </si>
  <si>
    <t>CHALCHOCOYO</t>
  </si>
  <si>
    <t>CONSTRUCCION DE RECAMARAS ADICIONALES, ATLAMAXATL, MATLAPA</t>
  </si>
  <si>
    <t>CONSTRUCCION DE RECAMARAS ADICIONALES, CHALCHOCOYO, MATLAPA</t>
  </si>
  <si>
    <t>2016-3718</t>
  </si>
  <si>
    <t>CONSTRUCCION DE RECAMARAS ADICIONALES, MATLAPA</t>
  </si>
  <si>
    <t>2016-3727</t>
  </si>
  <si>
    <t>2016-3728</t>
  </si>
  <si>
    <t>TEZONQUILILLO</t>
  </si>
  <si>
    <t>CONSTRUCCION DE RECAMARAS ADICIONALES, TEZONQUILILLO, MATLAPA</t>
  </si>
  <si>
    <t>2016-3724</t>
  </si>
  <si>
    <t>CD. VALLES</t>
  </si>
  <si>
    <t>CONSTRUCCION DE RECAMARAS ADICIONALES, CD. VALLES</t>
  </si>
  <si>
    <t>SEDATU-3093-A</t>
  </si>
  <si>
    <t>2016-3725</t>
  </si>
  <si>
    <t>2016-3723</t>
  </si>
  <si>
    <t>2016-3726</t>
  </si>
  <si>
    <t>2016-3748</t>
  </si>
  <si>
    <t>CD. FERNANDEZ</t>
  </si>
  <si>
    <t>CONSTRUCCION DE RECAMARAS ADICIONALES, CD. FERNANDEZ</t>
  </si>
  <si>
    <t>SEDATU-3098-A</t>
  </si>
  <si>
    <t>2016-3747</t>
  </si>
  <si>
    <t>2016-3715</t>
  </si>
  <si>
    <t>CONSTRUCCION DE RECAMARAS ADICIONALES, CEDRAL</t>
  </si>
  <si>
    <t>SEDATU-3103-A</t>
  </si>
  <si>
    <t>2016-3779</t>
  </si>
  <si>
    <t>EL PANDO</t>
  </si>
  <si>
    <t>CONSTRUCCION DE RECAMARAS ADICIONALES, EL PANDO, TANLAJAS</t>
  </si>
  <si>
    <t>SEDATU-3107-A</t>
  </si>
  <si>
    <t>2016-3780</t>
  </si>
  <si>
    <t>CUITZABTZEN</t>
  </si>
  <si>
    <t>CONSTRUCCION DE RECAMARAS ADICIONALES, CUITZABTZEN, TANLAJAS</t>
  </si>
  <si>
    <t>2016-3781</t>
  </si>
  <si>
    <t>EL CHUCHE</t>
  </si>
  <si>
    <t>CONSTRUCCION DE RECAMARAS ADICIONALES, EL CHUCHE, TANLAJAS</t>
  </si>
  <si>
    <t>2016-3782</t>
  </si>
  <si>
    <t>EJIDO EL TZAJIB</t>
  </si>
  <si>
    <t>CONSTRUCCION DE RECAMARAS ADICIONALES, EJIDO EL TZAJIB, TANLAJAS</t>
  </si>
  <si>
    <t>2016-3772</t>
  </si>
  <si>
    <t>LA LABOR</t>
  </si>
  <si>
    <t>CONSTRUCCION DE RECAMARAS ADICIONALES, LA LABOR, TANLAJAS</t>
  </si>
  <si>
    <t>2016-3773</t>
  </si>
  <si>
    <t>MONEC</t>
  </si>
  <si>
    <t>CONSTRUCCION DE RECAMARAS ADICIONALES, MONEC, TANLAJAS</t>
  </si>
  <si>
    <t>2016-3774</t>
  </si>
  <si>
    <t>OJOX</t>
  </si>
  <si>
    <t>CONSTRUCCION DE RECAMARAS ADICIONALES, OJOX, TANLAJAS</t>
  </si>
  <si>
    <t>2016-3775</t>
  </si>
  <si>
    <t>LAS MESAS (RANCHO SANTA MONICA)</t>
  </si>
  <si>
    <t>CONSTRUCCION DE RECAMARAS ADICIONALES, LAS MESAS (RANCHO SANTA MONICA), TANLAJAS</t>
  </si>
  <si>
    <t>2016-3776</t>
  </si>
  <si>
    <t>EL TIYOU</t>
  </si>
  <si>
    <t>CONSTRUCCION DE RECAMARAS ADICIONALES, EL TIYOU, TANLAJAS</t>
  </si>
  <si>
    <t>2016-3777</t>
  </si>
  <si>
    <t>NUEVO CUEYTZEN</t>
  </si>
  <si>
    <t>CONSTRUCCION DE RECAMARAS ADICIONALES, NUEVO CUEYTZEN, TANLAJAS</t>
  </si>
  <si>
    <t>2016-3778</t>
  </si>
  <si>
    <t>TRES CRUCRES</t>
  </si>
  <si>
    <t>CONSTRUCCION DE RECAMARAS ADICIONALES, TRES CRUCES, TANLAJAS</t>
  </si>
  <si>
    <t>2016-3783</t>
  </si>
  <si>
    <t>TAMAZUNCHALE</t>
  </si>
  <si>
    <t>TEXOPIS</t>
  </si>
  <si>
    <t>CONSTRUCCION DE RECAMARAS ADICIONALES, TEXOPIS, TAMAZUNCHALE</t>
  </si>
  <si>
    <t>SEDATU-3090-A</t>
  </si>
  <si>
    <t>2016-3784</t>
  </si>
  <si>
    <t>LA CEIBA</t>
  </si>
  <si>
    <t>CONSTRUCCION DE RECAMARAS ADICIONALES, LA CEIBA, TAMAZUNCHALE</t>
  </si>
  <si>
    <t>2016-3743</t>
  </si>
  <si>
    <t>CHAPULHUACANITO</t>
  </si>
  <si>
    <t>CONSTRUCCION DE RECAMARAS ADICIONALES, CHAPULHUACANITO, TAMAZUNCHALE</t>
  </si>
  <si>
    <t>2016-3744</t>
  </si>
  <si>
    <t>CONSTRUCCION DE RECAMARAS ADICIONALES,  TAMAZUNCHALE</t>
  </si>
  <si>
    <t>2016-3745</t>
  </si>
  <si>
    <t>2016-3746</t>
  </si>
  <si>
    <t>2016-3729</t>
  </si>
  <si>
    <t>CONSTRUCCION DE RECAMARAS ADICIONALES, EL JOBO, XILITLA</t>
  </si>
  <si>
    <t>2016-3730</t>
  </si>
  <si>
    <t>PEÑA BLANCA</t>
  </si>
  <si>
    <t>CONSTRUCCION DE RECAMARAS ADICIONALES, PEÑA BLANCA, XILITLA</t>
  </si>
  <si>
    <t>2016-3731</t>
  </si>
  <si>
    <t>UXTUAPAN</t>
  </si>
  <si>
    <t>CONSTRUCCION DE RECAMARAS ADICIONALES, UXTUAPAN, XILITLA</t>
  </si>
  <si>
    <t>2016-3764</t>
  </si>
  <si>
    <t>AHUAYO</t>
  </si>
  <si>
    <t>CONSTRUCCION DE RECAMARAS ADICIONALES, AHUAYO, XILITLA</t>
  </si>
  <si>
    <t>SEDATU-3091-A</t>
  </si>
  <si>
    <t>2016-3765</t>
  </si>
  <si>
    <t>LA HERRADURA</t>
  </si>
  <si>
    <t>CONSTRUCCION DE RECAMARAS ADICIONALES, LA HERRADURA, XILITLA</t>
  </si>
  <si>
    <t>2016-3766</t>
  </si>
  <si>
    <t>LAS CRUCITAS</t>
  </si>
  <si>
    <t>CONSTRUCCION DE RECAMARAS ADICIONALES, LAS CRUCITAS, XILITLA</t>
  </si>
  <si>
    <t>2016-3767</t>
  </si>
  <si>
    <t>EJIDO PEÑA BLANCA LIMONTITLA</t>
  </si>
  <si>
    <t>CONSTRUCCION DE RECAMARAS ADICIONALES, EJIDO PEÑA BLANCA LIMONTITLA, XILITLA</t>
  </si>
  <si>
    <t>2016-3749</t>
  </si>
  <si>
    <t>CONSTRUCCION DE RECAMARAS ADICIONALES, AXTLA DE TERRAZAS</t>
  </si>
  <si>
    <t>SEDATU-3092-A</t>
  </si>
  <si>
    <t>2016-3719</t>
  </si>
  <si>
    <t>MATEHUALA</t>
  </si>
  <si>
    <t>CONSTRUCCION DE RECAMARAS ADICIONALES, MATEHUALA</t>
  </si>
  <si>
    <t>SEDATU-3094-A</t>
  </si>
  <si>
    <t>2016-3722</t>
  </si>
  <si>
    <t>TIERRANUEVA</t>
  </si>
  <si>
    <t>CONSTRUCCION DE RECAMARAS ADICIONALES, TIERRANUEVA</t>
  </si>
  <si>
    <t>SEDATU-3096-A</t>
  </si>
  <si>
    <t>2016-3759</t>
  </si>
  <si>
    <t>2016-3732</t>
  </si>
  <si>
    <t>SANTA MARIA DEL RIO</t>
  </si>
  <si>
    <t>CONSTRUCCION DE RECAMARAS ADICIONALES, SANTA MARIA DEL RIO</t>
  </si>
  <si>
    <t>SEDATU-3097-A</t>
  </si>
  <si>
    <t>2016-3733</t>
  </si>
  <si>
    <t>2016-3734</t>
  </si>
  <si>
    <t>2016-3735</t>
  </si>
  <si>
    <t>2016-3721</t>
  </si>
  <si>
    <t>SALINAS DE HIDALGO</t>
  </si>
  <si>
    <t>CONSTRUCCION DE RECAMARAS ADICIONALES, SALINAS DE HIDALGO</t>
  </si>
  <si>
    <t>SEDATU-3101-B</t>
  </si>
  <si>
    <t>2016-3736</t>
  </si>
  <si>
    <t>CONSTRUCCION DE RECAMARAS ADICIONALES, JOYA DEL GAVILAN, SANTA CATARINA</t>
  </si>
  <si>
    <t>SEDATU-3104-A</t>
  </si>
  <si>
    <t>2016-3737</t>
  </si>
  <si>
    <t>JOYA DEL GAVILAN</t>
  </si>
  <si>
    <t>EL ARADO</t>
  </si>
  <si>
    <t>CONSTRUCCION DE RECAMARAS ADICIONALES, EL ARADO, SANTA CATARINA</t>
  </si>
  <si>
    <t>2016-3738</t>
  </si>
  <si>
    <t>LA CUCHILLA</t>
  </si>
  <si>
    <t>CONSTRUCCION DE RECAMARAS ADICIONALES, LA CUCHILLA, SANTA CATARINA</t>
  </si>
  <si>
    <t>2016-3739</t>
  </si>
  <si>
    <t>SANTA TERESA</t>
  </si>
  <si>
    <t>CONSTRUCCION DE RECAMARAS ADICIONALES, SANTA TERESA, SANTA CATARINA</t>
  </si>
  <si>
    <t>2016-3740</t>
  </si>
  <si>
    <t>LIMON DE LA PEÑA</t>
  </si>
  <si>
    <t>CONSTRUCCION DE RECAMARAS ADICIONALES, LIMON DE LA PEÑA, SANTA CATARINA</t>
  </si>
  <si>
    <t>2016-3741</t>
  </si>
  <si>
    <t>EL CORAL</t>
  </si>
  <si>
    <t>CONSTRUCCION DE RECAMARAS ADICIONALES, EL CORAL, SANTA CATARINA</t>
  </si>
  <si>
    <t>2016-3742</t>
  </si>
  <si>
    <t>PASO DE BOTELLO</t>
  </si>
  <si>
    <t>CONSTRUCCION DE RECAMARAS ADICIONALES, PASO DE BOTELLO, SANTA CATARINA</t>
  </si>
  <si>
    <t>2016-3768</t>
  </si>
  <si>
    <t>TAMASOPO</t>
  </si>
  <si>
    <t>CONSTRUCCION DE RECAMARAS ADICIONALES, TAMASOPO</t>
  </si>
  <si>
    <t>SEDATU-3109-A</t>
  </si>
  <si>
    <t>2016-3769</t>
  </si>
  <si>
    <t>AGUA BUENA</t>
  </si>
  <si>
    <t>CONSTRUCCION DE RECAMARAS ADICIONALES, AGUA BUENA, TAMASOPO</t>
  </si>
  <si>
    <t>2016-3754</t>
  </si>
  <si>
    <t>CONSTRUCCION DE RECAMARAS ADICIONALES, MOCTEZUMA</t>
  </si>
  <si>
    <t>SEDATU-3113-A</t>
  </si>
  <si>
    <t>2016-3755</t>
  </si>
  <si>
    <t>SAN JOSE DE ENRAMADA</t>
  </si>
  <si>
    <t>CONSTRUCCION DE RECAMARAS ADICIONALES, SAN JOSE DE ENRAMADA, MOCTEZUMA</t>
  </si>
  <si>
    <t>2016-3756</t>
  </si>
  <si>
    <t>LA CARPA</t>
  </si>
  <si>
    <t>CONSTRUCCION DE RECAMARAS ADICIONALES, LA CARPA, MOCTEZUMA</t>
  </si>
  <si>
    <t>2016-3757</t>
  </si>
  <si>
    <t>EL SOTOL</t>
  </si>
  <si>
    <t>CONSTRUCCION DE RECAMARAS ADICIONALES, EL SOTOL, MOCTEZUMA</t>
  </si>
  <si>
    <t>2016-3758</t>
  </si>
  <si>
    <t>EL SAUCITO</t>
  </si>
  <si>
    <t>CONSTRUCCION DE RECAMARAS ADICIONALES, EL SAUCITO, MOCTEZUMA</t>
  </si>
  <si>
    <t>2016-3750</t>
  </si>
  <si>
    <t>LA CARBONERA DE ABAJO</t>
  </si>
  <si>
    <t>CONSTRUCCION DE RECAMARAS ADICIONALES, LA CARBONERA DE ABAJO, MOCTEZUMA</t>
  </si>
  <si>
    <t>2016-3751</t>
  </si>
  <si>
    <t>2016-3752</t>
  </si>
  <si>
    <t>EX HACIENDA DE ENRAMADA</t>
  </si>
  <si>
    <t>CONSTRUCCION DE RECAMARAS ADICIONALES, EX HACIENDA DE ENRAMADA, MOCTEZUMA</t>
  </si>
  <si>
    <t>CODORNIZ</t>
  </si>
  <si>
    <t>CONSTRUCCION DE RECAMARAS ADICIONALES, CODORNIZ, MOCTEZUMA</t>
  </si>
  <si>
    <t>2016-3753</t>
  </si>
  <si>
    <t>SANTA MARIA DE LA LUZ (LAS LIEBRES)</t>
  </si>
  <si>
    <t>CONSTRUCCION DE RECAMARAS ADICIONALES, SANTA MARIA DE LA LUZ (LAS LIEBRES), MOCTEZUMA</t>
  </si>
  <si>
    <t>2016-2670</t>
  </si>
  <si>
    <t>EBANO</t>
  </si>
  <si>
    <t>PUJAL COY</t>
  </si>
  <si>
    <t>CONSTRUCCION DE SISTEMA DE DRENAJE SANITARIO Y PLANTA DE TRATAMIENTO DE AGUAS RESIDUALES, 1a. ETAPA, PUJAL COYO, EBANO</t>
  </si>
  <si>
    <t>INDEPIT/DG/243/16</t>
  </si>
  <si>
    <t>2016-2669</t>
  </si>
  <si>
    <t>SANTIAGO CENTRO</t>
  </si>
  <si>
    <t>CONSTRUCCION DE SISTEMA DE DRENAJE SANITARIO Y PLANTA DE TRATAMIENTO DE AGUAS RESIDUALES, 2a. ETAPA, SANTIAGO CENTRO, TAMAZUNCHALE</t>
  </si>
  <si>
    <t>INDEPIT/DG/217/16</t>
  </si>
  <si>
    <t>2016-2672</t>
  </si>
  <si>
    <t>SANTA MARIA ACAPULCO</t>
  </si>
  <si>
    <t>CONSTRUCCION DE SISTEMA DE DRENAJE SANITARIO Y PLANTA DE TRATAMIENTO DE AGUAS RESIDUALES, 2a. ETAPA ZONA 2, SANTA MARIA ACAPULCO, SANTA CATARINA</t>
  </si>
  <si>
    <t>INDEPIT/DG/216/16</t>
  </si>
  <si>
    <t>2016-2671</t>
  </si>
  <si>
    <t>PONCIANO ARRIAGA</t>
  </si>
  <si>
    <t>CONSTRUCCION DE SISTEMA DE DRENAJE SANITARIO Y PLANTA DE TRATAMIENTO DE AGUAS RESIDUALES, 2a. ETAPA, PONCIANO ARRIAGA, EBANO</t>
  </si>
  <si>
    <t>INDEPIT/DG/215/16</t>
  </si>
  <si>
    <t>DGDSR-C-001/2016</t>
  </si>
  <si>
    <t>DGDSR-C-002/2016</t>
  </si>
  <si>
    <t>DGDSR-C-003/2016</t>
  </si>
  <si>
    <t>DGDSR-C-004/2016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</si>
</sst>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b/>
      <sz val="8"/>
      <color theme="2" tint="-0.249977111117893"/>
      <name val="Calibri"/>
      <family val="2"/>
      <scheme val="minor"/>
    </font>
    <font>
      <sz val="11"/>
      <color indexed="8"/>
      <name val="Calibri"/>
      <family val="2"/>
    </font>
    <font>
      <b/>
      <sz val="10"/>
      <color rgb="FFFF000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b/>
      <sz val="10"/>
      <color theme="2" tint="-0.249977111117893"/>
      <name val="Arial Narrow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b/>
      <sz val="8"/>
      <color theme="2" tint="-0.249977111117893"/>
      <name val="Arial Narrow"/>
      <family val="2"/>
    </font>
    <font>
      <sz val="12"/>
      <color theme="1"/>
      <name val="Arial Narrow"/>
      <family val="2"/>
    </font>
    <font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color rgb="FFFF0000"/>
      <name val="Arial Narrow"/>
      <family val="2"/>
    </font>
    <font>
      <sz val="12"/>
      <color theme="1"/>
      <name val="Calibri"/>
      <family val="2"/>
      <scheme val="minor"/>
    </font>
    <font>
      <sz val="12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auto="1"/>
      </patternFill>
    </fill>
    <fill>
      <patternFill patternType="solid">
        <fgColor rgb="FFFF0000"/>
        <bgColor auto="1"/>
      </patternFill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68E9D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Font="1"/>
    <xf numFmtId="0" fontId="2" fillId="0" borderId="0" xfId="3" applyFont="1" applyAlignment="1">
      <alignment horizontal="center" vertical="center"/>
    </xf>
    <xf numFmtId="164" fontId="4" fillId="0" borderId="0" xfId="1" applyNumberFormat="1" applyFont="1" applyFill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10" fillId="0" borderId="0" xfId="0" applyFont="1"/>
    <xf numFmtId="164" fontId="11" fillId="2" borderId="0" xfId="1" applyNumberFormat="1" applyFont="1" applyFill="1" applyAlignment="1">
      <alignment horizontal="center" vertical="center"/>
    </xf>
    <xf numFmtId="164" fontId="11" fillId="2" borderId="11" xfId="1" applyNumberFormat="1" applyFont="1" applyFill="1" applyBorder="1" applyAlignment="1">
      <alignment horizontal="center" vertical="center" wrapText="1"/>
    </xf>
    <xf numFmtId="164" fontId="6" fillId="2" borderId="0" xfId="1" applyNumberFormat="1" applyFont="1" applyFill="1" applyAlignment="1">
      <alignment horizontal="center" vertical="center"/>
    </xf>
    <xf numFmtId="0" fontId="9" fillId="0" borderId="2" xfId="3" applyNumberFormat="1" applyFont="1" applyBorder="1" applyAlignment="1">
      <alignment horizontal="center" vertical="center" wrapText="1"/>
    </xf>
    <xf numFmtId="0" fontId="9" fillId="0" borderId="2" xfId="3" applyNumberFormat="1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9" fontId="9" fillId="0" borderId="2" xfId="2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14" fontId="9" fillId="0" borderId="2" xfId="3" applyNumberFormat="1" applyFont="1" applyFill="1" applyBorder="1" applyAlignment="1">
      <alignment horizontal="center" vertical="center" wrapText="1"/>
    </xf>
    <xf numFmtId="43" fontId="9" fillId="0" borderId="2" xfId="1" applyFont="1" applyBorder="1" applyAlignment="1">
      <alignment horizontal="center" vertical="center"/>
    </xf>
    <xf numFmtId="0" fontId="13" fillId="0" borderId="0" xfId="0" applyFont="1"/>
    <xf numFmtId="164" fontId="15" fillId="2" borderId="0" xfId="1" applyNumberFormat="1" applyFont="1" applyFill="1" applyAlignment="1">
      <alignment horizontal="center" vertical="center"/>
    </xf>
    <xf numFmtId="0" fontId="8" fillId="0" borderId="0" xfId="0" applyFont="1" applyAlignment="1">
      <alignment horizontal="right"/>
    </xf>
    <xf numFmtId="164" fontId="11" fillId="2" borderId="0" xfId="1" applyNumberFormat="1" applyFont="1" applyFill="1" applyAlignment="1">
      <alignment horizontal="right" vertical="center"/>
    </xf>
    <xf numFmtId="4" fontId="8" fillId="0" borderId="2" xfId="1" applyNumberFormat="1" applyFont="1" applyBorder="1" applyAlignment="1">
      <alignment vertical="center"/>
    </xf>
    <xf numFmtId="4" fontId="8" fillId="0" borderId="0" xfId="0" applyNumberFormat="1" applyFont="1"/>
    <xf numFmtId="4" fontId="8" fillId="0" borderId="2" xfId="1" applyNumberFormat="1" applyFont="1" applyBorder="1" applyAlignment="1">
      <alignment horizontal="right" vertical="center"/>
    </xf>
    <xf numFmtId="43" fontId="7" fillId="3" borderId="2" xfId="1" applyFont="1" applyFill="1" applyBorder="1" applyAlignment="1">
      <alignment horizontal="center" vertical="center" wrapText="1"/>
    </xf>
    <xf numFmtId="164" fontId="7" fillId="4" borderId="2" xfId="1" applyNumberFormat="1" applyFont="1" applyFill="1" applyBorder="1" applyAlignment="1">
      <alignment horizontal="center" vertical="center" textRotation="90" wrapText="1"/>
    </xf>
    <xf numFmtId="15" fontId="8" fillId="0" borderId="0" xfId="0" applyNumberFormat="1" applyFont="1"/>
    <xf numFmtId="15" fontId="11" fillId="2" borderId="0" xfId="1" applyNumberFormat="1" applyFont="1" applyFill="1" applyAlignment="1">
      <alignment horizontal="center" vertical="center"/>
    </xf>
    <xf numFmtId="15" fontId="9" fillId="0" borderId="2" xfId="3" applyNumberFormat="1" applyFont="1" applyBorder="1" applyAlignment="1">
      <alignment horizontal="center" vertical="center" wrapText="1"/>
    </xf>
    <xf numFmtId="43" fontId="7" fillId="5" borderId="12" xfId="1" applyFont="1" applyFill="1" applyBorder="1" applyAlignment="1">
      <alignment horizontal="center" vertical="center" wrapText="1"/>
    </xf>
    <xf numFmtId="164" fontId="11" fillId="2" borderId="13" xfId="1" applyNumberFormat="1" applyFont="1" applyFill="1" applyBorder="1" applyAlignment="1">
      <alignment horizontal="center" vertical="center" wrapText="1"/>
    </xf>
    <xf numFmtId="4" fontId="11" fillId="0" borderId="2" xfId="1" applyNumberFormat="1" applyFont="1" applyFill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43" fontId="7" fillId="6" borderId="2" xfId="1" applyFont="1" applyFill="1" applyBorder="1" applyAlignment="1">
      <alignment horizontal="center" vertical="center" wrapText="1"/>
    </xf>
    <xf numFmtId="9" fontId="7" fillId="6" borderId="2" xfId="2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justify"/>
    </xf>
    <xf numFmtId="4" fontId="12" fillId="0" borderId="2" xfId="0" applyNumberFormat="1" applyFont="1" applyBorder="1" applyAlignment="1">
      <alignment vertical="center"/>
    </xf>
    <xf numFmtId="0" fontId="8" fillId="0" borderId="2" xfId="0" applyFont="1" applyFill="1" applyBorder="1" applyAlignment="1">
      <alignment horizontal="justify" vertical="center"/>
    </xf>
    <xf numFmtId="0" fontId="8" fillId="0" borderId="0" xfId="0" applyFont="1" applyAlignment="1">
      <alignment horizontal="center"/>
    </xf>
    <xf numFmtId="49" fontId="7" fillId="7" borderId="2" xfId="0" applyNumberFormat="1" applyFont="1" applyFill="1" applyBorder="1" applyAlignment="1">
      <alignment horizontal="center" vertical="center" wrapText="1"/>
    </xf>
    <xf numFmtId="15" fontId="7" fillId="7" borderId="2" xfId="0" applyNumberFormat="1" applyFont="1" applyFill="1" applyBorder="1" applyAlignment="1">
      <alignment horizontal="center" vertical="center" wrapText="1"/>
    </xf>
    <xf numFmtId="14" fontId="7" fillId="7" borderId="2" xfId="0" applyNumberFormat="1" applyFont="1" applyFill="1" applyBorder="1" applyAlignment="1">
      <alignment horizontal="center" vertical="center" wrapText="1"/>
    </xf>
    <xf numFmtId="0" fontId="7" fillId="7" borderId="2" xfId="3" applyFont="1" applyFill="1" applyBorder="1" applyAlignment="1">
      <alignment horizontal="center" vertical="center" wrapText="1"/>
    </xf>
    <xf numFmtId="15" fontId="7" fillId="7" borderId="2" xfId="3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2" xfId="3" applyFont="1" applyBorder="1" applyAlignment="1">
      <alignment horizontal="justify" vertical="center" wrapText="1"/>
    </xf>
    <xf numFmtId="15" fontId="9" fillId="0" borderId="2" xfId="3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2" fillId="0" borderId="0" xfId="0" applyFont="1"/>
    <xf numFmtId="4" fontId="12" fillId="0" borderId="2" xfId="1" applyNumberFormat="1" applyFont="1" applyBorder="1" applyAlignment="1">
      <alignment horizontal="right" vertical="center"/>
    </xf>
    <xf numFmtId="43" fontId="7" fillId="8" borderId="2" xfId="1" applyFont="1" applyFill="1" applyBorder="1" applyAlignment="1">
      <alignment horizontal="center" vertical="center" wrapText="1"/>
    </xf>
    <xf numFmtId="2" fontId="6" fillId="6" borderId="2" xfId="1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vertical="center"/>
    </xf>
    <xf numFmtId="0" fontId="16" fillId="0" borderId="0" xfId="0" applyFont="1"/>
    <xf numFmtId="0" fontId="16" fillId="0" borderId="0" xfId="0" applyFont="1" applyAlignment="1">
      <alignment wrapText="1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15" fontId="16" fillId="0" borderId="0" xfId="0" applyNumberFormat="1" applyFont="1"/>
    <xf numFmtId="0" fontId="19" fillId="0" borderId="0" xfId="0" applyFont="1"/>
    <xf numFmtId="4" fontId="20" fillId="0" borderId="16" xfId="0" applyNumberFormat="1" applyFont="1" applyBorder="1"/>
    <xf numFmtId="4" fontId="16" fillId="0" borderId="0" xfId="0" applyNumberFormat="1" applyFont="1"/>
    <xf numFmtId="0" fontId="21" fillId="0" borderId="0" xfId="0" applyFont="1"/>
    <xf numFmtId="0" fontId="8" fillId="2" borderId="0" xfId="0" applyFont="1" applyFill="1"/>
    <xf numFmtId="0" fontId="12" fillId="2" borderId="0" xfId="0" applyFont="1" applyFill="1"/>
    <xf numFmtId="44" fontId="22" fillId="2" borderId="12" xfId="70" applyFont="1" applyFill="1" applyBorder="1" applyAlignment="1">
      <alignment horizontal="center" vertical="center"/>
    </xf>
    <xf numFmtId="44" fontId="22" fillId="2" borderId="15" xfId="70" applyFont="1" applyFill="1" applyBorder="1" applyAlignment="1">
      <alignment horizontal="center" vertical="center"/>
    </xf>
    <xf numFmtId="44" fontId="16" fillId="2" borderId="12" xfId="0" applyNumberFormat="1" applyFont="1" applyFill="1" applyBorder="1" applyAlignment="1">
      <alignment horizontal="right" vertical="center"/>
    </xf>
    <xf numFmtId="44" fontId="16" fillId="2" borderId="14" xfId="0" applyNumberFormat="1" applyFont="1" applyFill="1" applyBorder="1" applyAlignment="1">
      <alignment horizontal="right" vertical="center"/>
    </xf>
    <xf numFmtId="44" fontId="16" fillId="2" borderId="15" xfId="0" applyNumberFormat="1" applyFont="1" applyFill="1" applyBorder="1" applyAlignment="1">
      <alignment horizontal="right" vertical="center"/>
    </xf>
    <xf numFmtId="0" fontId="1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9" fontId="7" fillId="4" borderId="2" xfId="3" applyNumberFormat="1" applyFont="1" applyFill="1" applyBorder="1" applyAlignment="1">
      <alignment horizontal="center" vertical="center" wrapText="1"/>
    </xf>
    <xf numFmtId="49" fontId="7" fillId="4" borderId="1" xfId="3" applyNumberFormat="1" applyFont="1" applyFill="1" applyBorder="1" applyAlignment="1">
      <alignment horizontal="center" vertical="center" wrapText="1"/>
    </xf>
    <xf numFmtId="49" fontId="7" fillId="4" borderId="6" xfId="3" applyNumberFormat="1" applyFont="1" applyFill="1" applyBorder="1" applyAlignment="1">
      <alignment horizontal="center" vertical="center" wrapText="1"/>
    </xf>
    <xf numFmtId="49" fontId="7" fillId="4" borderId="10" xfId="3" applyNumberFormat="1" applyFont="1" applyFill="1" applyBorder="1" applyAlignment="1">
      <alignment horizontal="center" vertical="center" wrapText="1"/>
    </xf>
    <xf numFmtId="49" fontId="7" fillId="4" borderId="1" xfId="3" applyNumberFormat="1" applyFont="1" applyFill="1" applyBorder="1" applyAlignment="1">
      <alignment horizontal="center" vertical="center" textRotation="90" wrapText="1"/>
    </xf>
    <xf numFmtId="49" fontId="7" fillId="4" borderId="6" xfId="3" applyNumberFormat="1" applyFont="1" applyFill="1" applyBorder="1" applyAlignment="1">
      <alignment horizontal="center" vertical="center" textRotation="90" wrapText="1"/>
    </xf>
    <xf numFmtId="49" fontId="7" fillId="4" borderId="10" xfId="3" applyNumberFormat="1" applyFont="1" applyFill="1" applyBorder="1" applyAlignment="1">
      <alignment horizontal="center" vertical="center" textRotation="90" wrapText="1"/>
    </xf>
    <xf numFmtId="43" fontId="7" fillId="8" borderId="3" xfId="1" applyFont="1" applyFill="1" applyBorder="1" applyAlignment="1">
      <alignment horizontal="center" vertical="center"/>
    </xf>
    <xf numFmtId="43" fontId="7" fillId="8" borderId="4" xfId="1" applyFont="1" applyFill="1" applyBorder="1" applyAlignment="1">
      <alignment horizontal="center" vertical="center"/>
    </xf>
    <xf numFmtId="43" fontId="7" fillId="8" borderId="5" xfId="1" applyFont="1" applyFill="1" applyBorder="1" applyAlignment="1">
      <alignment horizontal="center" vertical="center"/>
    </xf>
    <xf numFmtId="43" fontId="7" fillId="8" borderId="7" xfId="1" applyFont="1" applyFill="1" applyBorder="1" applyAlignment="1">
      <alignment horizontal="center" vertical="center"/>
    </xf>
    <xf numFmtId="43" fontId="7" fillId="8" borderId="8" xfId="1" applyFont="1" applyFill="1" applyBorder="1" applyAlignment="1">
      <alignment horizontal="center" vertical="center"/>
    </xf>
    <xf numFmtId="43" fontId="7" fillId="8" borderId="9" xfId="1" applyFont="1" applyFill="1" applyBorder="1" applyAlignment="1">
      <alignment horizontal="center" vertical="center"/>
    </xf>
    <xf numFmtId="0" fontId="7" fillId="4" borderId="2" xfId="3" applyFont="1" applyFill="1" applyBorder="1" applyAlignment="1">
      <alignment horizontal="center" vertical="center" wrapText="1"/>
    </xf>
    <xf numFmtId="0" fontId="7" fillId="4" borderId="2" xfId="3" applyFont="1" applyFill="1" applyBorder="1" applyAlignment="1">
      <alignment horizontal="center" vertical="center"/>
    </xf>
    <xf numFmtId="14" fontId="7" fillId="4" borderId="2" xfId="3" applyNumberFormat="1" applyFont="1" applyFill="1" applyBorder="1" applyAlignment="1">
      <alignment horizontal="center" vertical="center" wrapText="1"/>
    </xf>
    <xf numFmtId="0" fontId="7" fillId="4" borderId="2" xfId="3" applyNumberFormat="1" applyFont="1" applyFill="1" applyBorder="1" applyAlignment="1">
      <alignment horizontal="center" vertical="center" wrapText="1"/>
    </xf>
    <xf numFmtId="0" fontId="7" fillId="7" borderId="3" xfId="3" applyNumberFormat="1" applyFont="1" applyFill="1" applyBorder="1" applyAlignment="1">
      <alignment horizontal="center" vertical="center" wrapText="1"/>
    </xf>
    <xf numFmtId="15" fontId="7" fillId="7" borderId="5" xfId="3" applyNumberFormat="1" applyFont="1" applyFill="1" applyBorder="1" applyAlignment="1">
      <alignment horizontal="center" vertical="center" wrapText="1"/>
    </xf>
    <xf numFmtId="0" fontId="7" fillId="7" borderId="7" xfId="3" applyNumberFormat="1" applyFont="1" applyFill="1" applyBorder="1" applyAlignment="1">
      <alignment horizontal="center" vertical="center" wrapText="1"/>
    </xf>
    <xf numFmtId="15" fontId="7" fillId="7" borderId="9" xfId="3" applyNumberFormat="1" applyFont="1" applyFill="1" applyBorder="1" applyAlignment="1">
      <alignment horizontal="center" vertical="center" wrapText="1"/>
    </xf>
    <xf numFmtId="0" fontId="14" fillId="4" borderId="2" xfId="3" applyNumberFormat="1" applyFont="1" applyFill="1" applyBorder="1" applyAlignment="1">
      <alignment horizontal="center" vertical="center" wrapText="1"/>
    </xf>
    <xf numFmtId="43" fontId="7" fillId="4" borderId="1" xfId="1" applyFont="1" applyFill="1" applyBorder="1" applyAlignment="1">
      <alignment horizontal="center" vertical="center" textRotation="90" wrapText="1"/>
    </xf>
    <xf numFmtId="43" fontId="7" fillId="4" borderId="10" xfId="1" applyFont="1" applyFill="1" applyBorder="1" applyAlignment="1">
      <alignment horizontal="center" vertical="center" textRotation="90" wrapText="1"/>
    </xf>
    <xf numFmtId="49" fontId="7" fillId="7" borderId="3" xfId="3" applyNumberFormat="1" applyFont="1" applyFill="1" applyBorder="1" applyAlignment="1">
      <alignment horizontal="center" vertical="center"/>
    </xf>
    <xf numFmtId="49" fontId="7" fillId="7" borderId="5" xfId="3" applyNumberFormat="1" applyFont="1" applyFill="1" applyBorder="1" applyAlignment="1">
      <alignment horizontal="center" vertical="center"/>
    </xf>
    <xf numFmtId="49" fontId="7" fillId="7" borderId="7" xfId="3" applyNumberFormat="1" applyFont="1" applyFill="1" applyBorder="1" applyAlignment="1">
      <alignment horizontal="center" vertical="center"/>
    </xf>
    <xf numFmtId="49" fontId="7" fillId="7" borderId="9" xfId="3" applyNumberFormat="1" applyFont="1" applyFill="1" applyBorder="1" applyAlignment="1">
      <alignment horizontal="center" vertical="center"/>
    </xf>
    <xf numFmtId="0" fontId="7" fillId="7" borderId="3" xfId="3" applyFont="1" applyFill="1" applyBorder="1" applyAlignment="1">
      <alignment horizontal="center" vertical="center"/>
    </xf>
    <xf numFmtId="15" fontId="7" fillId="7" borderId="5" xfId="3" applyNumberFormat="1" applyFont="1" applyFill="1" applyBorder="1" applyAlignment="1">
      <alignment horizontal="center" vertical="center"/>
    </xf>
    <xf numFmtId="0" fontId="7" fillId="7" borderId="7" xfId="3" applyFont="1" applyFill="1" applyBorder="1" applyAlignment="1">
      <alignment horizontal="center" vertical="center"/>
    </xf>
    <xf numFmtId="15" fontId="7" fillId="7" borderId="9" xfId="3" applyNumberFormat="1" applyFont="1" applyFill="1" applyBorder="1" applyAlignment="1">
      <alignment horizontal="center" vertical="center"/>
    </xf>
    <xf numFmtId="0" fontId="7" fillId="6" borderId="2" xfId="3" applyNumberFormat="1" applyFont="1" applyFill="1" applyBorder="1" applyAlignment="1">
      <alignment horizontal="center" vertical="center" wrapText="1"/>
    </xf>
    <xf numFmtId="0" fontId="7" fillId="7" borderId="1" xfId="3" applyNumberFormat="1" applyFont="1" applyFill="1" applyBorder="1" applyAlignment="1">
      <alignment horizontal="justify" vertical="center" wrapText="1"/>
    </xf>
    <xf numFmtId="0" fontId="7" fillId="7" borderId="6" xfId="3" applyNumberFormat="1" applyFont="1" applyFill="1" applyBorder="1" applyAlignment="1">
      <alignment horizontal="justify" vertical="center" wrapText="1"/>
    </xf>
    <xf numFmtId="0" fontId="7" fillId="7" borderId="10" xfId="3" applyNumberFormat="1" applyFont="1" applyFill="1" applyBorder="1" applyAlignment="1">
      <alignment horizontal="justify" vertical="center" wrapText="1"/>
    </xf>
    <xf numFmtId="4" fontId="7" fillId="3" borderId="2" xfId="3" applyNumberFormat="1" applyFont="1" applyFill="1" applyBorder="1" applyAlignment="1">
      <alignment horizontal="center" vertical="center" wrapText="1"/>
    </xf>
    <xf numFmtId="43" fontId="7" fillId="3" borderId="3" xfId="1" applyFont="1" applyFill="1" applyBorder="1" applyAlignment="1">
      <alignment horizontal="center" vertical="center"/>
    </xf>
    <xf numFmtId="43" fontId="7" fillId="3" borderId="4" xfId="1" applyFont="1" applyFill="1" applyBorder="1" applyAlignment="1">
      <alignment horizontal="center" vertical="center"/>
    </xf>
    <xf numFmtId="43" fontId="7" fillId="3" borderId="5" xfId="1" applyFont="1" applyFill="1" applyBorder="1" applyAlignment="1">
      <alignment horizontal="center" vertical="center"/>
    </xf>
    <xf numFmtId="43" fontId="7" fillId="3" borderId="7" xfId="1" applyFont="1" applyFill="1" applyBorder="1" applyAlignment="1">
      <alignment horizontal="center" vertical="center"/>
    </xf>
    <xf numFmtId="43" fontId="7" fillId="3" borderId="8" xfId="1" applyFont="1" applyFill="1" applyBorder="1" applyAlignment="1">
      <alignment horizontal="center" vertical="center"/>
    </xf>
    <xf numFmtId="43" fontId="7" fillId="3" borderId="9" xfId="1" applyFont="1" applyFill="1" applyBorder="1" applyAlignment="1">
      <alignment horizontal="center" vertical="center"/>
    </xf>
    <xf numFmtId="43" fontId="7" fillId="6" borderId="3" xfId="1" applyFont="1" applyFill="1" applyBorder="1" applyAlignment="1">
      <alignment horizontal="center" vertical="center"/>
    </xf>
    <xf numFmtId="43" fontId="7" fillId="6" borderId="4" xfId="1" applyFont="1" applyFill="1" applyBorder="1" applyAlignment="1">
      <alignment horizontal="center" vertical="center"/>
    </xf>
    <xf numFmtId="43" fontId="7" fillId="6" borderId="5" xfId="1" applyFont="1" applyFill="1" applyBorder="1" applyAlignment="1">
      <alignment horizontal="center" vertical="center"/>
    </xf>
    <xf numFmtId="43" fontId="7" fillId="6" borderId="7" xfId="1" applyFont="1" applyFill="1" applyBorder="1" applyAlignment="1">
      <alignment horizontal="center" vertical="center"/>
    </xf>
    <xf numFmtId="43" fontId="7" fillId="6" borderId="8" xfId="1" applyFont="1" applyFill="1" applyBorder="1" applyAlignment="1">
      <alignment horizontal="center" vertical="center"/>
    </xf>
    <xf numFmtId="43" fontId="7" fillId="6" borderId="9" xfId="1" applyFont="1" applyFill="1" applyBorder="1" applyAlignment="1">
      <alignment horizontal="center" vertical="center"/>
    </xf>
    <xf numFmtId="3" fontId="7" fillId="6" borderId="4" xfId="3" applyNumberFormat="1" applyFont="1" applyFill="1" applyBorder="1" applyAlignment="1">
      <alignment horizontal="center" vertical="center"/>
    </xf>
    <xf numFmtId="3" fontId="7" fillId="6" borderId="5" xfId="3" applyNumberFormat="1" applyFont="1" applyFill="1" applyBorder="1" applyAlignment="1">
      <alignment horizontal="center" vertical="center"/>
    </xf>
    <xf numFmtId="3" fontId="7" fillId="6" borderId="8" xfId="3" applyNumberFormat="1" applyFont="1" applyFill="1" applyBorder="1" applyAlignment="1">
      <alignment horizontal="center" vertical="center"/>
    </xf>
    <xf numFmtId="3" fontId="7" fillId="6" borderId="9" xfId="3" applyNumberFormat="1" applyFont="1" applyFill="1" applyBorder="1" applyAlignment="1">
      <alignment horizontal="center" vertical="center"/>
    </xf>
    <xf numFmtId="43" fontId="7" fillId="5" borderId="3" xfId="1" applyFont="1" applyFill="1" applyBorder="1" applyAlignment="1">
      <alignment horizontal="center" vertical="center"/>
    </xf>
    <xf numFmtId="43" fontId="7" fillId="5" borderId="7" xfId="1" applyFont="1" applyFill="1" applyBorder="1" applyAlignment="1">
      <alignment horizontal="center" vertical="center"/>
    </xf>
    <xf numFmtId="0" fontId="0" fillId="2" borderId="0" xfId="0" applyFont="1" applyFill="1"/>
    <xf numFmtId="0" fontId="2" fillId="2" borderId="0" xfId="3" applyFont="1" applyFill="1" applyAlignment="1">
      <alignment horizontal="center" vertical="center"/>
    </xf>
    <xf numFmtId="164" fontId="4" fillId="2" borderId="0" xfId="1" applyNumberFormat="1" applyFont="1" applyFill="1" applyAlignment="1">
      <alignment horizontal="center" vertical="center"/>
    </xf>
    <xf numFmtId="0" fontId="21" fillId="2" borderId="0" xfId="0" applyFont="1" applyFill="1"/>
  </cellXfs>
  <cellStyles count="71">
    <cellStyle name="Excel Built-in Normal" xfId="5"/>
    <cellStyle name="Excel Built-in Normal 1" xfId="6"/>
    <cellStyle name="Millares" xfId="1" builtinId="3"/>
    <cellStyle name="Millares 2" xfId="4"/>
    <cellStyle name="Millares 2 2" xfId="7"/>
    <cellStyle name="Millares 2 3" xfId="8"/>
    <cellStyle name="Millares 2 3 2" xfId="9"/>
    <cellStyle name="Millares 3" xfId="10"/>
    <cellStyle name="Millares 3 2" xfId="11"/>
    <cellStyle name="Millares 4" xfId="12"/>
    <cellStyle name="Millares 4 2" xfId="13"/>
    <cellStyle name="Millares 5" xfId="14"/>
    <cellStyle name="Millares 6" xfId="15"/>
    <cellStyle name="Moneda" xfId="70" builtinId="4"/>
    <cellStyle name="Moneda 2" xfId="16"/>
    <cellStyle name="Moneda 2 2" xfId="17"/>
    <cellStyle name="Moneda 3" xfId="18"/>
    <cellStyle name="Moneda 4" xfId="19"/>
    <cellStyle name="Moneda 5" xfId="20"/>
    <cellStyle name="Normal" xfId="0" builtinId="0"/>
    <cellStyle name="Normal 10" xfId="3"/>
    <cellStyle name="Normal 11" xfId="21"/>
    <cellStyle name="Normal 11 2" xfId="22"/>
    <cellStyle name="Normal 11 3" xfId="23"/>
    <cellStyle name="Normal 11 3 2" xfId="24"/>
    <cellStyle name="Normal 11 3 2 2" xfId="25"/>
    <cellStyle name="Normal 11 3 3" xfId="26"/>
    <cellStyle name="Normal 11 3 4" xfId="27"/>
    <cellStyle name="Normal 11 3 4 2" xfId="28"/>
    <cellStyle name="Normal 12" xfId="29"/>
    <cellStyle name="Normal 12 2" xfId="30"/>
    <cellStyle name="Normal 12 3" xfId="31"/>
    <cellStyle name="Normal 12 3 2" xfId="32"/>
    <cellStyle name="Normal 2" xfId="33"/>
    <cellStyle name="Normal 2 2" xfId="34"/>
    <cellStyle name="Normal 2 2 2" xfId="35"/>
    <cellStyle name="Normal 2 2 3" xfId="36"/>
    <cellStyle name="Normal 2 2 4" xfId="37"/>
    <cellStyle name="Normal 2 3" xfId="38"/>
    <cellStyle name="Normal 2 4" xfId="39"/>
    <cellStyle name="Normal 2 6" xfId="40"/>
    <cellStyle name="Normal 2 8" xfId="41"/>
    <cellStyle name="Normal 3" xfId="42"/>
    <cellStyle name="Normal 3 2" xfId="43"/>
    <cellStyle name="Normal 3 3" xfId="44"/>
    <cellStyle name="Normal 3 4" xfId="45"/>
    <cellStyle name="Normal 3 5" xfId="46"/>
    <cellStyle name="Normal 4" xfId="47"/>
    <cellStyle name="Normal 4 2" xfId="48"/>
    <cellStyle name="Normal 4 3" xfId="49"/>
    <cellStyle name="Normal 4 4" xfId="50"/>
    <cellStyle name="Normal 4 4 2" xfId="51"/>
    <cellStyle name="Normal 4 4 3" xfId="52"/>
    <cellStyle name="Normal 4 4 3 2" xfId="53"/>
    <cellStyle name="Normal 4 4 4" xfId="54"/>
    <cellStyle name="Normal 4 4 5" xfId="55"/>
    <cellStyle name="Normal 4 4 5 2" xfId="56"/>
    <cellStyle name="Normal 4 5" xfId="57"/>
    <cellStyle name="Normal 4 5 2" xfId="58"/>
    <cellStyle name="Normal 4 5 3" xfId="59"/>
    <cellStyle name="Normal 4 5 3 2" xfId="60"/>
    <cellStyle name="Normal 4 6" xfId="61"/>
    <cellStyle name="Normal 5" xfId="62"/>
    <cellStyle name="Normal 6" xfId="63"/>
    <cellStyle name="Normal 7" xfId="64"/>
    <cellStyle name="Normal 8" xfId="65"/>
    <cellStyle name="Normal 9" xfId="66"/>
    <cellStyle name="Normal 9 2" xfId="67"/>
    <cellStyle name="Porcentual" xfId="2" builtinId="5"/>
    <cellStyle name="Porcentual 2" xfId="68"/>
    <cellStyle name="Porcentual 2 2" xfId="69"/>
  </cellStyles>
  <dxfs count="0"/>
  <tableStyles count="0" defaultTableStyle="TableStyleMedium2" defaultPivotStyle="PivotStyleLight16"/>
  <colors>
    <mruColors>
      <color rgb="FFF68E9D"/>
      <color rgb="FF00FF00"/>
      <color rgb="FFFFFF99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624418</xdr:colOff>
      <xdr:row>0</xdr:row>
      <xdr:rowOff>74101</xdr:rowOff>
    </xdr:from>
    <xdr:to>
      <xdr:col>40</xdr:col>
      <xdr:colOff>514289</xdr:colOff>
      <xdr:row>1</xdr:row>
      <xdr:rowOff>222529</xdr:rowOff>
    </xdr:to>
    <xdr:pic>
      <xdr:nvPicPr>
        <xdr:cNvPr id="3" name="2 Imagen" descr="LOGO SEDESORE 2015-202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93251" y="74101"/>
          <a:ext cx="1794871" cy="4553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i-archivos\doc\LORENAG\lorenag\2015\FISE\BASE%20GENERAL%20-%20INVERSION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SE GRAL 2015"/>
      <sheetName val="SALDOS 2015"/>
      <sheetName val="CLAVES 2015"/>
      <sheetName val="GRPO FEIS 15"/>
      <sheetName val="POAS 15"/>
      <sheetName val="APERTURA15"/>
      <sheetName val="Hoja1"/>
    </sheetNames>
    <sheetDataSet>
      <sheetData sheetId="0" refreshError="1"/>
      <sheetData sheetId="1" refreshError="1"/>
      <sheetData sheetId="2" refreshError="1">
        <row r="4">
          <cell r="A4" t="str">
            <v>FISE 2015</v>
          </cell>
          <cell r="B4" t="str">
            <v>SF/DGPP/DPI-R0205/2015</v>
          </cell>
          <cell r="C4" t="str">
            <v>03-05-002-529-51-33-001-6322</v>
          </cell>
          <cell r="D4" t="str">
            <v>0268-77081-7</v>
          </cell>
          <cell r="E4">
            <v>42038</v>
          </cell>
          <cell r="F4">
            <v>194613422.84</v>
          </cell>
          <cell r="G4">
            <v>163555214.94</v>
          </cell>
          <cell r="H4">
            <v>31058207.900000006</v>
          </cell>
        </row>
        <row r="5">
          <cell r="A5" t="str">
            <v>FISE 2015 (INTERESES CTA. ORIGEN-MARZO)</v>
          </cell>
          <cell r="B5" t="str">
            <v>SF/DGPP/DPI-R0546/2015-01556</v>
          </cell>
          <cell r="C5" t="str">
            <v>03-05-002-529-51-33-006-6322</v>
          </cell>
          <cell r="D5" t="str">
            <v>0268-77081-7</v>
          </cell>
          <cell r="E5">
            <v>42118</v>
          </cell>
          <cell r="F5">
            <v>8365.43</v>
          </cell>
          <cell r="G5">
            <v>0</v>
          </cell>
          <cell r="H5">
            <v>8365.43</v>
          </cell>
        </row>
        <row r="6">
          <cell r="A6" t="str">
            <v>FISE 2015 (INTERESES MAYO)</v>
          </cell>
          <cell r="B6" t="str">
            <v>SF/DGPP/DPI-R0907/2015-02450</v>
          </cell>
          <cell r="C6" t="str">
            <v>03-05-002-529-51-33-006-6322</v>
          </cell>
          <cell r="D6" t="str">
            <v>0268-77081-7</v>
          </cell>
          <cell r="E6">
            <v>42177</v>
          </cell>
          <cell r="F6">
            <v>383604</v>
          </cell>
          <cell r="G6">
            <v>0</v>
          </cell>
          <cell r="H6">
            <v>383604</v>
          </cell>
        </row>
        <row r="7">
          <cell r="A7" t="str">
            <v>FISE 2015 (INTERESES CTA. ORIGEN-FEBRERO)</v>
          </cell>
          <cell r="B7" t="str">
            <v>SF/DGPP/DPI-R0394/2015-01180</v>
          </cell>
          <cell r="C7" t="str">
            <v>03-05-002-529-51-33-006-6322</v>
          </cell>
          <cell r="D7" t="str">
            <v>0268-77081-7</v>
          </cell>
          <cell r="E7">
            <v>42118</v>
          </cell>
          <cell r="F7">
            <v>5370.29</v>
          </cell>
          <cell r="G7">
            <v>0</v>
          </cell>
          <cell r="H7">
            <v>5370.29</v>
          </cell>
        </row>
        <row r="8">
          <cell r="A8" t="str">
            <v>FISE 2015 (INTERESES CTA. ORIGEN-ABRIL)</v>
          </cell>
          <cell r="B8" t="str">
            <v>SF/DGPP/DPI-R1281/2015-03358</v>
          </cell>
          <cell r="C8" t="str">
            <v>03-05-002-529-51-33-006-6322</v>
          </cell>
          <cell r="D8" t="str">
            <v>0268-77081-7</v>
          </cell>
          <cell r="E8">
            <v>42243</v>
          </cell>
          <cell r="F8">
            <v>12548.06</v>
          </cell>
          <cell r="G8">
            <v>0</v>
          </cell>
          <cell r="H8">
            <v>12548.06</v>
          </cell>
        </row>
        <row r="9">
          <cell r="A9" t="str">
            <v xml:space="preserve">FISE 2014 </v>
          </cell>
          <cell r="B9" t="str">
            <v>SF/DGPP/DPI-R0045/2014-00199</v>
          </cell>
          <cell r="C9" t="str">
            <v>03-05-002-529-51-33-001-6322</v>
          </cell>
          <cell r="D9" t="str">
            <v>0215-69306-8</v>
          </cell>
          <cell r="E9">
            <v>41681</v>
          </cell>
          <cell r="F9">
            <v>397757.35</v>
          </cell>
          <cell r="G9">
            <v>277684</v>
          </cell>
          <cell r="H9">
            <v>120073.34999999998</v>
          </cell>
        </row>
        <row r="10">
          <cell r="A10" t="str">
            <v>FISE 2014 (INTERESES MAYO)</v>
          </cell>
          <cell r="B10" t="str">
            <v>SF/DGPP/DPI-R0909/2015-02451</v>
          </cell>
          <cell r="C10" t="str">
            <v>03-05-002-529-51-33-003-6322</v>
          </cell>
          <cell r="D10" t="str">
            <v>0215-69306-8</v>
          </cell>
          <cell r="E10">
            <v>42177</v>
          </cell>
          <cell r="F10">
            <v>224600</v>
          </cell>
          <cell r="G10">
            <v>224600</v>
          </cell>
          <cell r="H10">
            <v>0</v>
          </cell>
        </row>
        <row r="11">
          <cell r="A11" t="str">
            <v>FISE 2014 (RENDIMIENTOS)</v>
          </cell>
          <cell r="B11" t="str">
            <v>SF/DGPP/DPI-R0128/2015-00204</v>
          </cell>
          <cell r="C11" t="str">
            <v>03-05-002-529-51-33-003-6322</v>
          </cell>
          <cell r="D11" t="str">
            <v>0215-69306-8</v>
          </cell>
          <cell r="E11">
            <v>42058</v>
          </cell>
          <cell r="F11">
            <v>1130716</v>
          </cell>
          <cell r="G11">
            <v>1130716</v>
          </cell>
          <cell r="H11">
            <v>0</v>
          </cell>
        </row>
        <row r="12">
          <cell r="A12" t="str">
            <v>FAFEF 2014 (SEDESORE-CATORCE)</v>
          </cell>
          <cell r="B12" t="str">
            <v>SF-DGPP/DPI-R0446/2014-00000</v>
          </cell>
          <cell r="C12" t="str">
            <v>03-05-002-102-51-42-007-6121</v>
          </cell>
          <cell r="D12" t="str">
            <v>0227-67019-2</v>
          </cell>
          <cell r="E12">
            <v>41768</v>
          </cell>
          <cell r="F12">
            <v>1375052.18</v>
          </cell>
          <cell r="G12">
            <v>1375052.18</v>
          </cell>
          <cell r="H12">
            <v>0</v>
          </cell>
        </row>
        <row r="13">
          <cell r="A13" t="str">
            <v>FAFEF 2014 (SEDESORE-VANEGAS)</v>
          </cell>
          <cell r="B13" t="str">
            <v>SF-DGPP/DPI-R0446/2014-00000</v>
          </cell>
          <cell r="C13" t="str">
            <v>03-05-002-102-51-42-010-6121</v>
          </cell>
          <cell r="D13" t="str">
            <v>0227-67019-2</v>
          </cell>
          <cell r="E13">
            <v>41768</v>
          </cell>
          <cell r="F13">
            <v>1533.36</v>
          </cell>
          <cell r="G13">
            <v>0</v>
          </cell>
          <cell r="H13">
            <v>1533.36</v>
          </cell>
        </row>
        <row r="14">
          <cell r="A14" t="str">
            <v>FAFEF 2014</v>
          </cell>
          <cell r="B14" t="str">
            <v>SF/DGPP/DPI-R0754/2014-00000</v>
          </cell>
          <cell r="C14" t="str">
            <v>03-05-002-102-51-42-007-6121</v>
          </cell>
          <cell r="D14" t="str">
            <v>0227-67019-2</v>
          </cell>
          <cell r="E14">
            <v>41824</v>
          </cell>
          <cell r="F14">
            <v>186042.53</v>
          </cell>
          <cell r="G14">
            <v>186042.53</v>
          </cell>
          <cell r="H14">
            <v>0</v>
          </cell>
        </row>
        <row r="15">
          <cell r="A15" t="str">
            <v>FAFEF 2014 (CFE)</v>
          </cell>
          <cell r="B15" t="str">
            <v>SF-DGPP/DPGI/0222/2014</v>
          </cell>
          <cell r="C15" t="str">
            <v>03-05-002-313-51-42-028-6311</v>
          </cell>
          <cell r="D15" t="str">
            <v>0227-67019-2</v>
          </cell>
          <cell r="E15">
            <v>41981</v>
          </cell>
          <cell r="F15">
            <v>256308.56</v>
          </cell>
          <cell r="G15">
            <v>76407.360000000001</v>
          </cell>
          <cell r="H15">
            <v>179901.2</v>
          </cell>
        </row>
        <row r="16">
          <cell r="A16" t="str">
            <v xml:space="preserve">FISE 2013 </v>
          </cell>
          <cell r="B16" t="str">
            <v>SF/DGPP/DPI-R0287/2013-00313</v>
          </cell>
          <cell r="C16" t="str">
            <v>03-05-002-529-51-33-001-6322</v>
          </cell>
          <cell r="D16" t="str">
            <v>0864-86313-9</v>
          </cell>
          <cell r="E16">
            <v>41355</v>
          </cell>
          <cell r="F16">
            <v>392843.59</v>
          </cell>
          <cell r="G16">
            <v>19806.75</v>
          </cell>
          <cell r="H16">
            <v>373036.84</v>
          </cell>
        </row>
        <row r="17">
          <cell r="A17" t="str">
            <v>FISE 2013 (OBS)</v>
          </cell>
          <cell r="B17" t="str">
            <v>SF/DGPP/DPI-R0097/2015-00476</v>
          </cell>
          <cell r="C17" t="str">
            <v>03-05-002-529-51-33-002-6322</v>
          </cell>
          <cell r="D17" t="str">
            <v>0864-86313-9</v>
          </cell>
          <cell r="E17">
            <v>42051</v>
          </cell>
          <cell r="F17">
            <v>275335.53999999998</v>
          </cell>
          <cell r="G17">
            <v>275335.54000000004</v>
          </cell>
          <cell r="H17">
            <v>0</v>
          </cell>
        </row>
        <row r="18">
          <cell r="A18" t="str">
            <v>FISE 2013 (INTERESES MAYO)</v>
          </cell>
          <cell r="B18" t="str">
            <v>SF/DGPP/DPI-R0909/2015-02451</v>
          </cell>
          <cell r="C18" t="str">
            <v>03-05-002-529-51-33-002-6322</v>
          </cell>
          <cell r="D18" t="str">
            <v>0864-86313-9</v>
          </cell>
          <cell r="E18">
            <v>42177</v>
          </cell>
          <cell r="F18">
            <v>32490</v>
          </cell>
          <cell r="G18">
            <v>0</v>
          </cell>
          <cell r="H18">
            <v>32490</v>
          </cell>
        </row>
        <row r="19">
          <cell r="A19" t="str">
            <v>FISE 2013 (RENDIMIENTOS)</v>
          </cell>
          <cell r="B19" t="str">
            <v>SF/DGPP/DPI-R0128/2015-00204</v>
          </cell>
          <cell r="C19" t="str">
            <v>03-05-002-529-51-33-002-6322</v>
          </cell>
          <cell r="D19" t="str">
            <v>0864-86313-9</v>
          </cell>
          <cell r="E19">
            <v>42058</v>
          </cell>
          <cell r="F19">
            <v>210542</v>
          </cell>
          <cell r="G19">
            <v>176459.69999999998</v>
          </cell>
          <cell r="H19">
            <v>34082.300000000017</v>
          </cell>
        </row>
        <row r="20">
          <cell r="A20" t="str">
            <v xml:space="preserve">FISE 2012 </v>
          </cell>
          <cell r="B20" t="str">
            <v>SF/DGPP/DPI-R0159/2012-0751</v>
          </cell>
          <cell r="C20" t="str">
            <v>03-05-002-102-21-33-001-6322</v>
          </cell>
          <cell r="D20" t="str">
            <v>0816-41212-5</v>
          </cell>
          <cell r="E20">
            <v>40977</v>
          </cell>
          <cell r="F20">
            <v>422.1</v>
          </cell>
          <cell r="G20">
            <v>44.63</v>
          </cell>
          <cell r="H20">
            <v>377.47</v>
          </cell>
        </row>
        <row r="21">
          <cell r="A21" t="str">
            <v>FISE 2012 (INTERESES MAYO)</v>
          </cell>
          <cell r="B21" t="str">
            <v>SF/DGPP/DPI-R0909/2015-02451</v>
          </cell>
          <cell r="C21" t="str">
            <v>03-05-002-529-51-33-004-6322</v>
          </cell>
          <cell r="D21" t="str">
            <v>0816-41212-5</v>
          </cell>
          <cell r="E21">
            <v>42177</v>
          </cell>
          <cell r="F21">
            <v>378</v>
          </cell>
          <cell r="G21">
            <v>0</v>
          </cell>
          <cell r="H21">
            <v>378</v>
          </cell>
        </row>
        <row r="22">
          <cell r="A22" t="str">
            <v>FISE 2012 (RENDIMIENTOS)</v>
          </cell>
          <cell r="B22" t="str">
            <v>SF/DGPP/DPI-R0128/2015-00204</v>
          </cell>
          <cell r="C22" t="str">
            <v>03-05-002-529-51-33-004-6322</v>
          </cell>
          <cell r="D22" t="str">
            <v>0816-41212-5</v>
          </cell>
          <cell r="E22">
            <v>42058</v>
          </cell>
          <cell r="F22">
            <v>92868</v>
          </cell>
          <cell r="G22">
            <v>92868</v>
          </cell>
          <cell r="H22">
            <v>0</v>
          </cell>
        </row>
        <row r="23">
          <cell r="A23" t="str">
            <v>FISE 2011 (RENDIMIENTOS)</v>
          </cell>
          <cell r="B23" t="str">
            <v>SF/DGPP/DPI-R0128/2015-00204</v>
          </cell>
          <cell r="C23" t="str">
            <v>03-05-002-529-51-33-005-6322</v>
          </cell>
          <cell r="D23" t="str">
            <v>0674-36323-0</v>
          </cell>
          <cell r="E23">
            <v>42058</v>
          </cell>
          <cell r="F23">
            <v>81169.509999999995</v>
          </cell>
          <cell r="G23">
            <v>81169.509999999995</v>
          </cell>
          <cell r="H23">
            <v>0</v>
          </cell>
        </row>
        <row r="24">
          <cell r="A24" t="str">
            <v>FISE 2011 (INTERESES FISE 2011)</v>
          </cell>
          <cell r="B24" t="str">
            <v>DGPP-1036/2013</v>
          </cell>
          <cell r="C24" t="str">
            <v>03-05-002-529-51-33-013-6322</v>
          </cell>
          <cell r="D24" t="str">
            <v>0674-36323-0</v>
          </cell>
          <cell r="E24">
            <v>41435</v>
          </cell>
          <cell r="F24">
            <v>24.46</v>
          </cell>
          <cell r="G24">
            <v>0</v>
          </cell>
          <cell r="H24">
            <v>24.46</v>
          </cell>
        </row>
        <row r="25">
          <cell r="A25" t="str">
            <v>FISE 2010 AMP (RENDIMIENTOS)</v>
          </cell>
          <cell r="B25" t="str">
            <v>DGPP-T01036/2013</v>
          </cell>
          <cell r="C25" t="str">
            <v>03-05-002-529-51-33-014-6322</v>
          </cell>
          <cell r="D25" t="str">
            <v>0827-30674-3</v>
          </cell>
          <cell r="E25">
            <v>41435</v>
          </cell>
          <cell r="F25">
            <v>49.68</v>
          </cell>
          <cell r="G25">
            <v>49.68</v>
          </cell>
          <cell r="H25">
            <v>0</v>
          </cell>
        </row>
        <row r="26">
          <cell r="A26" t="str">
            <v>FISE REINTEGROS</v>
          </cell>
          <cell r="B26" t="str">
            <v>DGPP-T0387/2012</v>
          </cell>
          <cell r="C26" t="str">
            <v>03-05-002-102-21-33-006-6322</v>
          </cell>
          <cell r="D26" t="str">
            <v>0682-57550-6</v>
          </cell>
          <cell r="E26">
            <v>41093</v>
          </cell>
          <cell r="F26">
            <v>855.77</v>
          </cell>
          <cell r="G26">
            <v>0</v>
          </cell>
          <cell r="H26">
            <v>855.77</v>
          </cell>
        </row>
        <row r="27">
          <cell r="A27" t="str">
            <v>REMANENTES</v>
          </cell>
          <cell r="B27" t="str">
            <v>POR ASIGNAR</v>
          </cell>
          <cell r="C27" t="str">
            <v>POR ASIGNAR</v>
          </cell>
          <cell r="D27" t="str">
            <v>POR ASIGNAR</v>
          </cell>
          <cell r="E27" t="str">
            <v>POR ASIGNAR</v>
          </cell>
          <cell r="F27">
            <v>0</v>
          </cell>
          <cell r="G27">
            <v>0</v>
          </cell>
          <cell r="H27">
            <v>0</v>
          </cell>
        </row>
      </sheetData>
      <sheetData sheetId="3" refreshError="1">
        <row r="4">
          <cell r="C4" t="str">
            <v>AHUALULCO</v>
          </cell>
          <cell r="D4" t="str">
            <v>GUADALUPE ZUÑIGA</v>
          </cell>
        </row>
        <row r="5">
          <cell r="C5" t="str">
            <v>ALAQUINES</v>
          </cell>
          <cell r="D5" t="str">
            <v>ANGELES ARZOLA</v>
          </cell>
        </row>
        <row r="6">
          <cell r="C6" t="str">
            <v>AQUISMON</v>
          </cell>
          <cell r="D6" t="str">
            <v>JAVIER GONZALEZ</v>
          </cell>
        </row>
        <row r="7">
          <cell r="C7" t="str">
            <v>ARMADILLO DE LOS INFANTE</v>
          </cell>
          <cell r="D7" t="str">
            <v>MA. LOURDES ACEBO</v>
          </cell>
        </row>
        <row r="8">
          <cell r="C8" t="str">
            <v>AXTLA DE TERRAZAS</v>
          </cell>
          <cell r="D8" t="str">
            <v>MA. LOURDES ACEBO</v>
          </cell>
        </row>
        <row r="9">
          <cell r="C9" t="str">
            <v>CARDENAS</v>
          </cell>
          <cell r="D9" t="str">
            <v>MA. LOURDES ACEBO</v>
          </cell>
        </row>
        <row r="10">
          <cell r="C10" t="str">
            <v>CATORCE</v>
          </cell>
          <cell r="D10" t="str">
            <v>CELESTINO ARAUJO</v>
          </cell>
        </row>
        <row r="11">
          <cell r="C11" t="str">
            <v>CEDRAL</v>
          </cell>
          <cell r="D11" t="str">
            <v>JAVIER GONZALEZ</v>
          </cell>
        </row>
        <row r="12">
          <cell r="C12" t="str">
            <v>CERRITOS</v>
          </cell>
          <cell r="D12" t="str">
            <v>MA. ANTONIA HERNANDEZ</v>
          </cell>
        </row>
        <row r="13">
          <cell r="C13" t="str">
            <v>CERRO DE SAN PEDRO</v>
          </cell>
          <cell r="D13" t="str">
            <v>ADAN CORTES</v>
          </cell>
        </row>
        <row r="14">
          <cell r="C14" t="str">
            <v>CHARCAS</v>
          </cell>
          <cell r="D14" t="str">
            <v>MA. LOURDES ACEBO</v>
          </cell>
        </row>
        <row r="15">
          <cell r="C15" t="str">
            <v>CIUDAD DEL MAIZ</v>
          </cell>
          <cell r="D15" t="str">
            <v>ANGELES ARZOLA</v>
          </cell>
        </row>
        <row r="16">
          <cell r="C16" t="str">
            <v>CIUDAD FERNANDEZ</v>
          </cell>
          <cell r="D16" t="str">
            <v>MA. ANTONIA HERNANDEZ</v>
          </cell>
        </row>
        <row r="17">
          <cell r="C17" t="str">
            <v>CIUDAD VALLES</v>
          </cell>
          <cell r="D17" t="str">
            <v>JUAN CARLOS CORPUS</v>
          </cell>
        </row>
        <row r="18">
          <cell r="C18" t="str">
            <v>COXCATLAN</v>
          </cell>
          <cell r="D18" t="str">
            <v>JUAN CARLOS CORPUS</v>
          </cell>
        </row>
        <row r="19">
          <cell r="C19" t="str">
            <v>EBANO</v>
          </cell>
          <cell r="D19" t="str">
            <v>ESPERANZA GASPAR</v>
          </cell>
        </row>
        <row r="20">
          <cell r="C20" t="str">
            <v>EL NARANJO</v>
          </cell>
          <cell r="D20" t="str">
            <v>JUAN CARLOS CORPUS</v>
          </cell>
        </row>
        <row r="21">
          <cell r="C21" t="str">
            <v>GUADALCAZAR</v>
          </cell>
          <cell r="D21" t="str">
            <v>ESPERANZA GASPAR</v>
          </cell>
        </row>
        <row r="22">
          <cell r="C22" t="str">
            <v>HUEHUETLAN</v>
          </cell>
          <cell r="D22" t="str">
            <v>JAVIER GONZALEZ</v>
          </cell>
        </row>
        <row r="23">
          <cell r="C23" t="str">
            <v>LAGUNILLAS</v>
          </cell>
          <cell r="D23" t="str">
            <v>RAUL CARRIZALES</v>
          </cell>
        </row>
        <row r="24">
          <cell r="C24" t="str">
            <v>MATEHUALA</v>
          </cell>
          <cell r="D24" t="str">
            <v>ESPERANZA GASPAR</v>
          </cell>
        </row>
        <row r="25">
          <cell r="C25" t="str">
            <v>MATLAPA</v>
          </cell>
          <cell r="D25" t="str">
            <v>FEDERICO VELAZCO</v>
          </cell>
        </row>
        <row r="26">
          <cell r="C26" t="str">
            <v>MEXQUITIC DE CARMONA</v>
          </cell>
          <cell r="D26" t="str">
            <v>GUADALUPE ZUÑIGA</v>
          </cell>
        </row>
        <row r="27">
          <cell r="C27" t="str">
            <v>MOCTEZUMA</v>
          </cell>
          <cell r="D27" t="str">
            <v>MA. LOURDES ACEBO</v>
          </cell>
        </row>
        <row r="28">
          <cell r="C28" t="str">
            <v>RAYON</v>
          </cell>
          <cell r="D28" t="str">
            <v>ANGELES ARZOLA</v>
          </cell>
        </row>
        <row r="29">
          <cell r="C29" t="str">
            <v>RIOVERDE</v>
          </cell>
          <cell r="D29" t="str">
            <v>MA. ANTONIA HERNANDEZ</v>
          </cell>
        </row>
        <row r="30">
          <cell r="C30" t="str">
            <v>SALINAS</v>
          </cell>
          <cell r="D30" t="str">
            <v>GUADALUPE ZUÑIGA</v>
          </cell>
        </row>
        <row r="31">
          <cell r="C31" t="str">
            <v>SAN ANTONIO</v>
          </cell>
          <cell r="D31" t="str">
            <v>MA. LOURDES ACEBO</v>
          </cell>
        </row>
        <row r="32">
          <cell r="C32" t="str">
            <v>SAN CIRO DE ACOSTA</v>
          </cell>
          <cell r="D32" t="str">
            <v>MA. ANTONIA HERNANDEZ</v>
          </cell>
        </row>
        <row r="33">
          <cell r="C33" t="str">
            <v>SAN LUIS POTOSI</v>
          </cell>
          <cell r="D33" t="str">
            <v>ADAN CORTES</v>
          </cell>
        </row>
        <row r="34">
          <cell r="C34" t="str">
            <v>SAN MARTIN CHALCHICUAUTLA</v>
          </cell>
          <cell r="D34" t="str">
            <v>MA. LOURDES ACEBO</v>
          </cell>
        </row>
        <row r="35">
          <cell r="C35" t="str">
            <v>SAN NICOLAS TOLENTINO</v>
          </cell>
          <cell r="D35" t="str">
            <v>MA. ANTONIA HERNANDEZ</v>
          </cell>
        </row>
        <row r="36">
          <cell r="C36" t="str">
            <v>SAN VICENTE TANCUAYALAB</v>
          </cell>
          <cell r="D36" t="str">
            <v>JUAN CARLOS CORPUS</v>
          </cell>
        </row>
        <row r="37">
          <cell r="C37" t="str">
            <v>SANTA CATARINA</v>
          </cell>
          <cell r="D37" t="str">
            <v>ANGELES ARZOLA</v>
          </cell>
        </row>
        <row r="38">
          <cell r="C38" t="str">
            <v>SANTA MARIA DEL RIO</v>
          </cell>
          <cell r="D38" t="str">
            <v>GUADALUPE ZUÑIGA</v>
          </cell>
        </row>
        <row r="39">
          <cell r="C39" t="str">
            <v>SANTO DOMINGO</v>
          </cell>
          <cell r="D39" t="str">
            <v>GUADALUPE ZUÑIGA</v>
          </cell>
        </row>
        <row r="40">
          <cell r="C40" t="str">
            <v>SOLEDAD DE GRACIANO SANCHEZ</v>
          </cell>
          <cell r="D40" t="str">
            <v>ADAN CORTES</v>
          </cell>
        </row>
        <row r="41">
          <cell r="C41" t="str">
            <v>TAMASOPO</v>
          </cell>
          <cell r="D41" t="str">
            <v>JUAN CARLOS CORPUS</v>
          </cell>
        </row>
        <row r="42">
          <cell r="C42" t="str">
            <v>TAMAZUNCHALE</v>
          </cell>
          <cell r="D42" t="str">
            <v>FEDERICO VELAZCO</v>
          </cell>
        </row>
        <row r="43">
          <cell r="C43" t="str">
            <v>TAMPACAN</v>
          </cell>
          <cell r="D43" t="str">
            <v>FEDERICO VELAZCO</v>
          </cell>
        </row>
        <row r="44">
          <cell r="C44" t="str">
            <v>TAMPAMOLON</v>
          </cell>
          <cell r="D44" t="str">
            <v>JAVIER GONZALEZ</v>
          </cell>
        </row>
        <row r="45">
          <cell r="C45" t="str">
            <v>TAMUIN</v>
          </cell>
          <cell r="D45" t="str">
            <v>JUAN CARLOS CORPUS</v>
          </cell>
        </row>
        <row r="46">
          <cell r="C46" t="str">
            <v xml:space="preserve">TANCANHUITZ </v>
          </cell>
          <cell r="D46" t="str">
            <v>JAVIER GONZALEZ</v>
          </cell>
        </row>
        <row r="47">
          <cell r="C47" t="str">
            <v>TANLAJAS</v>
          </cell>
          <cell r="D47" t="str">
            <v>JAVIER GONZALEZ</v>
          </cell>
        </row>
        <row r="48">
          <cell r="C48" t="str">
            <v>TANQUIAN DE ESCOBEDO</v>
          </cell>
          <cell r="D48" t="str">
            <v>JAVIER GONZALEZ</v>
          </cell>
        </row>
        <row r="49">
          <cell r="C49" t="str">
            <v>TIERRA NUEVA</v>
          </cell>
          <cell r="D49" t="str">
            <v>GUADALUPE ZUÑIGA</v>
          </cell>
        </row>
        <row r="50">
          <cell r="C50" t="str">
            <v>VANEGAS</v>
          </cell>
          <cell r="D50" t="str">
            <v>FEDERICO VELAZCO</v>
          </cell>
        </row>
        <row r="51">
          <cell r="C51" t="str">
            <v>VENADO</v>
          </cell>
          <cell r="D51" t="str">
            <v>MA. LOURDES ACEBO</v>
          </cell>
        </row>
        <row r="52">
          <cell r="C52" t="str">
            <v>VILLA DE ARISTA</v>
          </cell>
          <cell r="D52" t="str">
            <v>MA. LOURDES ACEBO</v>
          </cell>
        </row>
        <row r="53">
          <cell r="C53" t="str">
            <v>VILLA DE ARRIAGA</v>
          </cell>
          <cell r="D53" t="str">
            <v>GUADALUPE ZUÑIGA</v>
          </cell>
        </row>
        <row r="54">
          <cell r="C54" t="str">
            <v>VILLA DE GUADALUPE</v>
          </cell>
          <cell r="D54" t="str">
            <v>ESPERANZA GASPAR</v>
          </cell>
        </row>
        <row r="55">
          <cell r="C55" t="str">
            <v>VILLA DE LA PAZ</v>
          </cell>
          <cell r="D55" t="str">
            <v>RAUL CARRIZALES</v>
          </cell>
        </row>
        <row r="56">
          <cell r="C56" t="str">
            <v>VILLA DE RAMOS</v>
          </cell>
          <cell r="D56" t="str">
            <v>JUAN CARLOS CORPUS</v>
          </cell>
        </row>
        <row r="57">
          <cell r="C57" t="str">
            <v>VILLA DE REYES</v>
          </cell>
          <cell r="D57" t="str">
            <v>MA. ANTONIA HERNANDEZ</v>
          </cell>
        </row>
        <row r="58">
          <cell r="C58" t="str">
            <v>VILLA HIDALGO</v>
          </cell>
          <cell r="D58" t="str">
            <v>MA. ANTONIA HERNANDEZ</v>
          </cell>
        </row>
        <row r="59">
          <cell r="C59" t="str">
            <v>VILLA JUAREZ</v>
          </cell>
          <cell r="D59" t="str">
            <v>MA. ANTONIA HERNANDEZ</v>
          </cell>
        </row>
        <row r="60">
          <cell r="C60" t="str">
            <v>XILITLA</v>
          </cell>
          <cell r="D60" t="str">
            <v>FEDERICO VELAZCO</v>
          </cell>
        </row>
        <row r="61">
          <cell r="C61" t="str">
            <v>ZARAGOZA</v>
          </cell>
          <cell r="D61" t="str">
            <v>GUADALUPE ZUÑIGA</v>
          </cell>
        </row>
        <row r="62">
          <cell r="C62" t="str">
            <v>CEA</v>
          </cell>
          <cell r="D62" t="str">
            <v>MA. LOURDES ACEBO</v>
          </cell>
        </row>
        <row r="63">
          <cell r="C63" t="str">
            <v>JEC</v>
          </cell>
          <cell r="D63" t="str">
            <v>ADAN CORTES</v>
          </cell>
        </row>
        <row r="64">
          <cell r="C64" t="str">
            <v>SEDESORE</v>
          </cell>
          <cell r="D64" t="str">
            <v>MA. ANTONIA HERNANDEZ</v>
          </cell>
        </row>
        <row r="65">
          <cell r="C65" t="str">
            <v>IEIFE</v>
          </cell>
          <cell r="D65" t="str">
            <v>MA. ANTONIA HERNANDEZ</v>
          </cell>
        </row>
        <row r="66">
          <cell r="C66" t="str">
            <v>SEDARH</v>
          </cell>
          <cell r="D66" t="str">
            <v>MA. ANTONIA HERNANDEZ</v>
          </cell>
        </row>
        <row r="67">
          <cell r="C67" t="str">
            <v>CARITAS</v>
          </cell>
          <cell r="D67" t="str">
            <v>MA. ANTONIA HERNANDEZ</v>
          </cell>
        </row>
        <row r="68">
          <cell r="C68" t="str">
            <v>CFE</v>
          </cell>
          <cell r="D68" t="str">
            <v>ANGELES ARZOLA</v>
          </cell>
        </row>
        <row r="69">
          <cell r="C69" t="str">
            <v>SSSLP</v>
          </cell>
          <cell r="D69" t="str">
            <v>FEDERICO VELAZCO</v>
          </cell>
        </row>
        <row r="70">
          <cell r="C70" t="str">
            <v>SEDUVOP</v>
          </cell>
          <cell r="D70" t="str">
            <v>PENDIENTE</v>
          </cell>
        </row>
        <row r="71">
          <cell r="C71" t="str">
            <v>INVIES</v>
          </cell>
          <cell r="D71" t="str">
            <v>JUAN CARLOS CORPUS</v>
          </cell>
        </row>
        <row r="72">
          <cell r="C72" t="str">
            <v>INMUVI</v>
          </cell>
          <cell r="D72" t="str">
            <v>TOÑITA</v>
          </cell>
        </row>
        <row r="73">
          <cell r="C73">
            <v>0</v>
          </cell>
          <cell r="D73">
            <v>0</v>
          </cell>
        </row>
        <row r="74">
          <cell r="C74">
            <v>0</v>
          </cell>
          <cell r="D74">
            <v>0</v>
          </cell>
        </row>
      </sheetData>
      <sheetData sheetId="4" refreshError="1">
        <row r="4">
          <cell r="B4" t="str">
            <v>AHUALULCO</v>
          </cell>
          <cell r="C4" t="str">
            <v>ELOISA FLORES GAMEZ</v>
          </cell>
        </row>
        <row r="5">
          <cell r="B5" t="str">
            <v>ALAQUINES</v>
          </cell>
          <cell r="C5" t="str">
            <v>RAUL CARRIZALES RODRIGUEZ</v>
          </cell>
        </row>
        <row r="6">
          <cell r="B6" t="str">
            <v>AQUISMON</v>
          </cell>
          <cell r="C6" t="str">
            <v>MIGUEL BRIANO MONREAL</v>
          </cell>
        </row>
        <row r="7">
          <cell r="B7" t="str">
            <v>ARMADILLO DE LOS INFANTE</v>
          </cell>
          <cell r="C7" t="str">
            <v>ELOISA FLORES GAMEZ</v>
          </cell>
        </row>
        <row r="8">
          <cell r="B8" t="str">
            <v>AXTLA DE TERRAZAS</v>
          </cell>
          <cell r="C8" t="str">
            <v>GUADALUPE GONZALEZ RIVERA</v>
          </cell>
        </row>
        <row r="9">
          <cell r="B9" t="str">
            <v>CARDENAS</v>
          </cell>
          <cell r="C9" t="str">
            <v>JUAN JOSE MARTINEZ IRACHETA</v>
          </cell>
        </row>
        <row r="10">
          <cell r="B10" t="str">
            <v>CATORCE</v>
          </cell>
          <cell r="C10" t="str">
            <v>CELESTINO ARAUJO PALOMO</v>
          </cell>
        </row>
        <row r="11">
          <cell r="B11" t="str">
            <v>CIUDAD DEL MAIZ</v>
          </cell>
          <cell r="C11" t="str">
            <v>RAUL CARRIZALES RODRIGUEZ</v>
          </cell>
        </row>
        <row r="12">
          <cell r="B12" t="str">
            <v>CIUDAD FERNANDEZ</v>
          </cell>
          <cell r="C12" t="str">
            <v>JUAN JOSE MARTINEZ IRACHETA</v>
          </cell>
        </row>
        <row r="13">
          <cell r="B13" t="str">
            <v>CIUDAD VALLES</v>
          </cell>
          <cell r="C13" t="str">
            <v xml:space="preserve">FRANCISCO PALOMO IBARRA </v>
          </cell>
        </row>
        <row r="14">
          <cell r="B14" t="str">
            <v>CEDRAL</v>
          </cell>
          <cell r="C14" t="str">
            <v>CELESTINO ARAUJO PALOMO</v>
          </cell>
        </row>
        <row r="15">
          <cell r="B15" t="str">
            <v>CERRITOS</v>
          </cell>
          <cell r="C15" t="str">
            <v>JUAN JOSE MARTINEZ IRACHETA</v>
          </cell>
        </row>
        <row r="16">
          <cell r="B16" t="str">
            <v>CERRO DE SAN PEDRO</v>
          </cell>
          <cell r="C16" t="str">
            <v>EGIPCIA ENG ESTRADA</v>
          </cell>
        </row>
        <row r="17">
          <cell r="B17" t="str">
            <v>CHARCAS</v>
          </cell>
          <cell r="C17" t="str">
            <v>CELESTINO ARAUJO PALOMO</v>
          </cell>
        </row>
        <row r="18">
          <cell r="B18" t="str">
            <v>COXCATLAN</v>
          </cell>
          <cell r="C18" t="str">
            <v>GUADALUPE GONZALEZ RIVERA</v>
          </cell>
        </row>
        <row r="19">
          <cell r="B19" t="str">
            <v>EBANO</v>
          </cell>
          <cell r="C19" t="str">
            <v>MIGUEL BRIANO MONREAL</v>
          </cell>
        </row>
        <row r="20">
          <cell r="B20" t="str">
            <v>EL NARANJO</v>
          </cell>
          <cell r="C20" t="str">
            <v>GUADALUPE GONZALEZ RIVERA</v>
          </cell>
        </row>
        <row r="21">
          <cell r="B21" t="str">
            <v>GUADALCAZAR</v>
          </cell>
          <cell r="C21" t="str">
            <v>CELESTINO ARAUJO PALOMO</v>
          </cell>
        </row>
        <row r="22">
          <cell r="B22" t="str">
            <v>HUEHUETLAN</v>
          </cell>
          <cell r="C22" t="str">
            <v xml:space="preserve">FÉLIX MUÑOZ AGUILAR </v>
          </cell>
        </row>
        <row r="23">
          <cell r="B23" t="str">
            <v>LAGUNILLAS</v>
          </cell>
          <cell r="C23" t="str">
            <v>RAUL CARRIZALES RODRIGUEZ</v>
          </cell>
        </row>
        <row r="24">
          <cell r="B24" t="str">
            <v>MATEHUALA</v>
          </cell>
          <cell r="C24" t="str">
            <v>CELESTINO ARAUJO PALOMO</v>
          </cell>
        </row>
        <row r="25">
          <cell r="B25" t="str">
            <v>MATLAPA</v>
          </cell>
          <cell r="C25" t="str">
            <v>MIGUEL BRIANO MONREAL</v>
          </cell>
        </row>
        <row r="26">
          <cell r="B26" t="str">
            <v>MEXQUITIC DE CARMONA</v>
          </cell>
          <cell r="C26" t="str">
            <v>ELOISA FLORES GAMEZ</v>
          </cell>
        </row>
        <row r="27">
          <cell r="B27" t="str">
            <v>MOCTEZUMA</v>
          </cell>
          <cell r="C27" t="str">
            <v xml:space="preserve">CELESTINO ARAUJO PALOMO </v>
          </cell>
        </row>
        <row r="28">
          <cell r="B28" t="str">
            <v>RAYON</v>
          </cell>
          <cell r="C28" t="str">
            <v>RAUL CARRIZALES RODRIGUEZ</v>
          </cell>
        </row>
        <row r="29">
          <cell r="B29" t="str">
            <v>RIOVERDE</v>
          </cell>
          <cell r="C29" t="str">
            <v>JUAN JOSE MARTINEZ IRACHETA</v>
          </cell>
        </row>
        <row r="30">
          <cell r="B30" t="str">
            <v>SALINAS</v>
          </cell>
          <cell r="C30" t="str">
            <v>CELESTINO ARAUJO PALOMO</v>
          </cell>
        </row>
        <row r="31">
          <cell r="B31" t="str">
            <v>SAN ANTONIO</v>
          </cell>
          <cell r="C31" t="str">
            <v xml:space="preserve">FÉLIX MUÑOZ AGUILAR </v>
          </cell>
        </row>
        <row r="32">
          <cell r="B32" t="str">
            <v>SAN CIRO DE ACOSTA</v>
          </cell>
          <cell r="C32" t="str">
            <v>RAUL CARRIZALES RODRIGUEZ</v>
          </cell>
        </row>
        <row r="33">
          <cell r="B33" t="str">
            <v>SAN LUIS POTOSI</v>
          </cell>
          <cell r="C33" t="str">
            <v>EGIPCIA ENG ESTRADA</v>
          </cell>
        </row>
        <row r="34">
          <cell r="B34" t="str">
            <v>SAN MARTIN CHALCHICUAUTLA</v>
          </cell>
          <cell r="C34" t="str">
            <v>GUADALUPE GONZALEZ RIVERA</v>
          </cell>
        </row>
        <row r="35">
          <cell r="B35" t="str">
            <v>SAN NICOLAS TOLENTINO</v>
          </cell>
          <cell r="C35" t="str">
            <v>JUAN JOSE MARTINEZ IRACHETA</v>
          </cell>
        </row>
        <row r="36">
          <cell r="B36" t="str">
            <v>SAN VICENTE TANCUAYALAB</v>
          </cell>
          <cell r="C36" t="str">
            <v xml:space="preserve">RAFAEL ESPARZA </v>
          </cell>
        </row>
        <row r="37">
          <cell r="B37" t="str">
            <v>SANTA CATARINA</v>
          </cell>
          <cell r="C37" t="str">
            <v>RAUL CARRIZALES RODRIGUEZ</v>
          </cell>
        </row>
        <row r="38">
          <cell r="B38" t="str">
            <v>SANTA MARIA DEL RIO</v>
          </cell>
          <cell r="C38" t="str">
            <v>EGIPCIA ENG ESTRADA</v>
          </cell>
        </row>
        <row r="39">
          <cell r="B39" t="str">
            <v>SANTO DOMINGO</v>
          </cell>
          <cell r="C39" t="str">
            <v>CELESTINO ARAUJO PALOMO</v>
          </cell>
        </row>
        <row r="40">
          <cell r="B40" t="str">
            <v>SOLEDAD DE GRACIANO SANCHEZ</v>
          </cell>
          <cell r="C40" t="str">
            <v>EGIPCIA ENG ESTRADA</v>
          </cell>
        </row>
        <row r="41">
          <cell r="B41" t="str">
            <v>TAMASOPO</v>
          </cell>
          <cell r="C41" t="str">
            <v>GUADALUPE GONZALEZ RIVERA</v>
          </cell>
        </row>
        <row r="42">
          <cell r="B42" t="str">
            <v>TAMAZUNCHALE</v>
          </cell>
          <cell r="C42" t="str">
            <v xml:space="preserve">FRANCISCO PALOMO IBARRA </v>
          </cell>
        </row>
        <row r="43">
          <cell r="B43" t="str">
            <v>TAMPACAN</v>
          </cell>
          <cell r="C43" t="str">
            <v xml:space="preserve">RAFAEL ESPARZA </v>
          </cell>
        </row>
        <row r="44">
          <cell r="B44" t="str">
            <v>TAMPAMOLON</v>
          </cell>
          <cell r="C44" t="str">
            <v>GUADALUPE GONZALEZ RIVERA</v>
          </cell>
        </row>
        <row r="45">
          <cell r="B45" t="str">
            <v>TAMUIN</v>
          </cell>
          <cell r="C45" t="str">
            <v>MIGUEL BRIANO MONREAL</v>
          </cell>
        </row>
        <row r="46">
          <cell r="B46" t="str">
            <v xml:space="preserve">TANCANHUITZ </v>
          </cell>
          <cell r="C46" t="str">
            <v xml:space="preserve">RAFAEL ESPARZA </v>
          </cell>
        </row>
        <row r="47">
          <cell r="B47" t="str">
            <v>TANLAJAS</v>
          </cell>
          <cell r="C47" t="str">
            <v xml:space="preserve">RAFAEL ESPARZA </v>
          </cell>
        </row>
        <row r="48">
          <cell r="B48" t="str">
            <v>TANQUIAN DE ESCOBEDO</v>
          </cell>
          <cell r="C48" t="str">
            <v xml:space="preserve">RAFAEL ESPARZA </v>
          </cell>
        </row>
        <row r="49">
          <cell r="B49" t="str">
            <v>TIERRA NUEVA</v>
          </cell>
          <cell r="C49" t="str">
            <v>ELOISA FLORES GAMEZ</v>
          </cell>
        </row>
        <row r="50">
          <cell r="B50" t="str">
            <v>VANEGAS</v>
          </cell>
          <cell r="C50" t="str">
            <v>CELESTINO ARAUJO PALOMO</v>
          </cell>
        </row>
        <row r="51">
          <cell r="B51" t="str">
            <v>VENADO</v>
          </cell>
          <cell r="C51" t="str">
            <v>CELESTINO ARAUJO PALOMO</v>
          </cell>
        </row>
        <row r="52">
          <cell r="B52" t="str">
            <v>VILLA DE ARISTA</v>
          </cell>
          <cell r="C52" t="str">
            <v>CELESTINO ARAUJO PALOMO</v>
          </cell>
        </row>
        <row r="53">
          <cell r="B53" t="str">
            <v>VILLA DE ARRIAGA</v>
          </cell>
          <cell r="C53" t="str">
            <v>ELOISA FLORES GAMEZ</v>
          </cell>
        </row>
        <row r="54">
          <cell r="B54" t="str">
            <v>VILLA DE GUADALUPE</v>
          </cell>
          <cell r="C54" t="str">
            <v>CELESTINO ARAUJO PALOMO</v>
          </cell>
        </row>
        <row r="55">
          <cell r="B55" t="str">
            <v>VILLA DE LA PAZ</v>
          </cell>
          <cell r="C55" t="str">
            <v>CELESTINO ARAUJO PALOMO</v>
          </cell>
        </row>
        <row r="56">
          <cell r="B56" t="str">
            <v>VILLA DE RAMOS</v>
          </cell>
          <cell r="C56" t="str">
            <v>CELESTINO ARAUJO PALOMO</v>
          </cell>
        </row>
        <row r="57">
          <cell r="B57" t="str">
            <v>VILLA DE REYES</v>
          </cell>
          <cell r="C57" t="str">
            <v>ELOISA FLORES GAMEZ</v>
          </cell>
        </row>
        <row r="58">
          <cell r="B58" t="str">
            <v>VILLA HIDALGO</v>
          </cell>
          <cell r="C58" t="str">
            <v>CELESTINO ARAUJO PALOMO</v>
          </cell>
        </row>
        <row r="59">
          <cell r="B59" t="str">
            <v>VILLA JUAREZ</v>
          </cell>
          <cell r="C59" t="str">
            <v>JUAN JOSE MARTINEZ IRACHETA</v>
          </cell>
        </row>
        <row r="60">
          <cell r="B60" t="str">
            <v>XILITLA</v>
          </cell>
          <cell r="C60" t="str">
            <v xml:space="preserve">FRANCISCO PALOMO IBARRA </v>
          </cell>
        </row>
        <row r="61">
          <cell r="B61" t="str">
            <v>ZARAGOZA</v>
          </cell>
          <cell r="C61" t="str">
            <v>EGIPCIA ENG ESTRADA</v>
          </cell>
        </row>
        <row r="62">
          <cell r="B62" t="str">
            <v>SEDESORE</v>
          </cell>
          <cell r="C62" t="str">
            <v>NO APLICA</v>
          </cell>
        </row>
        <row r="63">
          <cell r="B63" t="str">
            <v>VARIOS MUNICIPIOS</v>
          </cell>
          <cell r="C63" t="str">
            <v>VARIOS ENCARGADOS</v>
          </cell>
        </row>
      </sheetData>
      <sheetData sheetId="5" refreshError="1">
        <row r="3">
          <cell r="A3" t="str">
            <v>TJ</v>
          </cell>
          <cell r="B3" t="str">
            <v>TJ - INFRAESTRUCTURA PECUARIA</v>
          </cell>
        </row>
        <row r="4">
          <cell r="A4" t="str">
            <v>SH</v>
          </cell>
          <cell r="B4" t="str">
            <v>SH - MEJORAMIENTO DE VIVIENDA</v>
          </cell>
        </row>
        <row r="5">
          <cell r="A5" t="str">
            <v>SG</v>
          </cell>
          <cell r="B5" t="str">
            <v>SG - ELECTRIFICACION</v>
          </cell>
        </row>
        <row r="6">
          <cell r="A6" t="str">
            <v>U6</v>
          </cell>
          <cell r="B6" t="str">
            <v>U6 - GASTOS INDIRECTOS</v>
          </cell>
        </row>
        <row r="7">
          <cell r="A7" t="str">
            <v>SE</v>
          </cell>
          <cell r="B7" t="str">
            <v>SE - URBANIZACION</v>
          </cell>
        </row>
        <row r="8">
          <cell r="A8" t="str">
            <v>SC</v>
          </cell>
          <cell r="B8" t="str">
            <v>SC - AGUA POTABLE</v>
          </cell>
        </row>
        <row r="9">
          <cell r="A9" t="str">
            <v>SD</v>
          </cell>
          <cell r="B9" t="str">
            <v>SD - ALCANTARILLADO Y DRENAJE</v>
          </cell>
        </row>
        <row r="10">
          <cell r="A10" t="str">
            <v>SL</v>
          </cell>
          <cell r="B10" t="str">
            <v>SL - DESARROLLO DEL DEPORTE</v>
          </cell>
        </row>
        <row r="11">
          <cell r="A11" t="str">
            <v>SI</v>
          </cell>
          <cell r="B11" t="str">
            <v>SI - VIALIDADES URBANAS</v>
          </cell>
        </row>
        <row r="12">
          <cell r="A12" t="str">
            <v>UL</v>
          </cell>
          <cell r="B12" t="str">
            <v>UL - DESARROLLO CULTURAL</v>
          </cell>
        </row>
        <row r="13">
          <cell r="A13" t="str">
            <v>UB</v>
          </cell>
          <cell r="B13" t="str">
            <v>UB - CAMINOS RURALES</v>
          </cell>
        </row>
        <row r="14">
          <cell r="A14" t="str">
            <v>SV</v>
          </cell>
          <cell r="B14" t="str">
            <v>SV - SANITARIOS</v>
          </cell>
        </row>
        <row r="15">
          <cell r="A15" t="str">
            <v>S6</v>
          </cell>
          <cell r="B15" t="str">
            <v>S6 - TRATAMIENTO Y DISPOSICION DE PLANTAS RESIDUALES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6" tint="0.39997558519241921"/>
    <pageSetUpPr fitToPage="1"/>
  </sheetPr>
  <dimension ref="A1:AT186"/>
  <sheetViews>
    <sheetView tabSelected="1" zoomScale="90" zoomScaleNormal="90" workbookViewId="0">
      <pane xSplit="1" ySplit="8" topLeftCell="B9" activePane="bottomRight" state="frozenSplit"/>
      <selection activeCell="DJ7" sqref="DJ7"/>
      <selection pane="topRight" activeCell="DJ7" sqref="DJ7"/>
      <selection pane="bottomLeft" activeCell="DJ7" sqref="DJ7"/>
      <selection pane="bottomRight" activeCell="E14" sqref="E14"/>
    </sheetView>
  </sheetViews>
  <sheetFormatPr baseColWidth="10" defaultColWidth="9.140625" defaultRowHeight="15"/>
  <cols>
    <col min="1" max="1" width="8.5703125" style="4" customWidth="1"/>
    <col min="2" max="2" width="16.42578125" style="4" customWidth="1"/>
    <col min="3" max="3" width="16.28515625" style="4" customWidth="1"/>
    <col min="4" max="4" width="14.5703125" style="4" customWidth="1"/>
    <col min="5" max="5" width="43.5703125" style="4" customWidth="1"/>
    <col min="6" max="6" width="15.85546875" style="4" hidden="1" customWidth="1"/>
    <col min="7" max="7" width="10.85546875" style="5" hidden="1" customWidth="1"/>
    <col min="8" max="8" width="9.28515625" style="18" customWidth="1"/>
    <col min="9" max="9" width="9.28515625" style="20" customWidth="1"/>
    <col min="10" max="10" width="8" style="4" customWidth="1"/>
    <col min="11" max="11" width="6.7109375" style="4" customWidth="1"/>
    <col min="12" max="12" width="9.28515625" style="39" hidden="1" customWidth="1"/>
    <col min="13" max="13" width="10.7109375" style="4" hidden="1" customWidth="1"/>
    <col min="14" max="14" width="16" style="4" hidden="1" customWidth="1"/>
    <col min="15" max="15" width="8.28515625" style="27" hidden="1" customWidth="1"/>
    <col min="16" max="16" width="16.7109375" style="4" hidden="1" customWidth="1"/>
    <col min="17" max="17" width="9.28515625" style="4" hidden="1" customWidth="1"/>
    <col min="18" max="18" width="21.5703125" style="4" hidden="1" customWidth="1"/>
    <col min="19" max="19" width="9.28515625" style="27" hidden="1" customWidth="1"/>
    <col min="20" max="20" width="14.42578125" style="4" customWidth="1"/>
    <col min="21" max="21" width="21.7109375" style="4" hidden="1" customWidth="1"/>
    <col min="22" max="22" width="15.140625" style="4" hidden="1" customWidth="1"/>
    <col min="23" max="23" width="14.140625" style="4" hidden="1" customWidth="1"/>
    <col min="24" max="24" width="15.140625" style="49" hidden="1" customWidth="1"/>
    <col min="25" max="25" width="14.140625" style="4" hidden="1" customWidth="1"/>
    <col min="26" max="26" width="13.5703125" style="4" hidden="1" customWidth="1"/>
    <col min="27" max="27" width="11.5703125" style="4" hidden="1" customWidth="1"/>
    <col min="28" max="28" width="13.140625" style="4" hidden="1" customWidth="1"/>
    <col min="29" max="29" width="11.5703125" style="4" hidden="1" customWidth="1"/>
    <col min="30" max="30" width="13.140625" style="49" hidden="1" customWidth="1"/>
    <col min="31" max="31" width="13.140625" style="4" hidden="1" customWidth="1"/>
    <col min="32" max="32" width="13" style="4" hidden="1" customWidth="1"/>
    <col min="33" max="33" width="9" style="4" hidden="1" customWidth="1"/>
    <col min="34" max="34" width="13.85546875" style="4" hidden="1" customWidth="1"/>
    <col min="35" max="35" width="14.7109375" style="4" hidden="1" customWidth="1"/>
    <col min="36" max="36" width="14.28515625" style="4" hidden="1" customWidth="1"/>
    <col min="37" max="37" width="13.28515625" style="4" hidden="1" customWidth="1"/>
    <col min="38" max="38" width="14" style="4" hidden="1" customWidth="1"/>
    <col min="39" max="39" width="11.5703125" style="4" hidden="1" customWidth="1"/>
    <col min="40" max="40" width="14.140625" style="6" bestFit="1" customWidth="1"/>
    <col min="41" max="41" width="9.140625" style="4" customWidth="1"/>
    <col min="42" max="42" width="15.140625" style="4" hidden="1" customWidth="1"/>
    <col min="43" max="43" width="14.28515625" style="23" hidden="1" customWidth="1"/>
    <col min="44" max="44" width="16.140625" style="127" customWidth="1"/>
    <col min="45" max="45" width="9.140625" style="127"/>
    <col min="46" max="46" width="25.85546875" style="127" customWidth="1"/>
    <col min="47" max="16384" width="9.140625" style="1"/>
  </cols>
  <sheetData>
    <row r="1" spans="1:46" ht="24" customHeight="1">
      <c r="A1" s="70" t="s">
        <v>38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</row>
    <row r="2" spans="1:46" ht="24" customHeight="1">
      <c r="A2" s="71" t="s">
        <v>41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</row>
    <row r="3" spans="1:46" ht="24" customHeight="1">
      <c r="A3" s="67" t="s">
        <v>39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9"/>
      <c r="U3" s="63"/>
      <c r="V3" s="63"/>
      <c r="W3" s="63"/>
      <c r="X3" s="64"/>
      <c r="Y3" s="63"/>
      <c r="Z3" s="63"/>
      <c r="AA3" s="63"/>
      <c r="AB3" s="63"/>
      <c r="AC3" s="63"/>
      <c r="AD3" s="64"/>
      <c r="AE3" s="63"/>
      <c r="AF3" s="63"/>
      <c r="AG3" s="63"/>
      <c r="AH3" s="63"/>
      <c r="AI3" s="63"/>
      <c r="AJ3" s="63"/>
      <c r="AK3" s="63"/>
      <c r="AL3" s="63"/>
      <c r="AM3" s="63"/>
      <c r="AN3" s="65">
        <v>235494202</v>
      </c>
      <c r="AO3" s="66"/>
    </row>
    <row r="4" spans="1:46" ht="24" customHeight="1">
      <c r="A4" s="67" t="s">
        <v>40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9"/>
      <c r="U4" s="63"/>
      <c r="V4" s="63"/>
      <c r="W4" s="63"/>
      <c r="X4" s="64"/>
      <c r="Y4" s="63"/>
      <c r="Z4" s="63"/>
      <c r="AA4" s="63"/>
      <c r="AB4" s="63"/>
      <c r="AC4" s="63"/>
      <c r="AD4" s="64"/>
      <c r="AE4" s="63"/>
      <c r="AF4" s="63"/>
      <c r="AG4" s="63"/>
      <c r="AH4" s="63"/>
      <c r="AI4" s="63"/>
      <c r="AJ4" s="63"/>
      <c r="AK4" s="63"/>
      <c r="AL4" s="63"/>
      <c r="AM4" s="63"/>
      <c r="AN4" s="65">
        <v>1976375.07</v>
      </c>
      <c r="AO4" s="66"/>
    </row>
    <row r="5" spans="1:46" s="2" customFormat="1" ht="13.9" customHeight="1">
      <c r="A5" s="76" t="s">
        <v>0</v>
      </c>
      <c r="B5" s="72" t="s">
        <v>1</v>
      </c>
      <c r="C5" s="72" t="s">
        <v>2</v>
      </c>
      <c r="D5" s="72" t="s">
        <v>3</v>
      </c>
      <c r="E5" s="72" t="s">
        <v>37</v>
      </c>
      <c r="F5" s="73" t="s">
        <v>21</v>
      </c>
      <c r="G5" s="85" t="s">
        <v>4</v>
      </c>
      <c r="H5" s="86" t="s">
        <v>5</v>
      </c>
      <c r="I5" s="86"/>
      <c r="J5" s="86"/>
      <c r="K5" s="86"/>
      <c r="L5" s="87" t="s">
        <v>6</v>
      </c>
      <c r="M5" s="88" t="s">
        <v>7</v>
      </c>
      <c r="N5" s="89" t="s">
        <v>8</v>
      </c>
      <c r="O5" s="90"/>
      <c r="P5" s="96" t="s">
        <v>9</v>
      </c>
      <c r="Q5" s="97"/>
      <c r="R5" s="100" t="s">
        <v>10</v>
      </c>
      <c r="S5" s="101"/>
      <c r="T5" s="104" t="s">
        <v>11</v>
      </c>
      <c r="U5" s="105" t="s">
        <v>12</v>
      </c>
      <c r="V5" s="79" t="s">
        <v>13</v>
      </c>
      <c r="W5" s="80"/>
      <c r="X5" s="80"/>
      <c r="Y5" s="80"/>
      <c r="Z5" s="80"/>
      <c r="AA5" s="81"/>
      <c r="AB5" s="109" t="s">
        <v>14</v>
      </c>
      <c r="AC5" s="110"/>
      <c r="AD5" s="110"/>
      <c r="AE5" s="110"/>
      <c r="AF5" s="110"/>
      <c r="AG5" s="111"/>
      <c r="AH5" s="115" t="s">
        <v>15</v>
      </c>
      <c r="AI5" s="116"/>
      <c r="AJ5" s="116"/>
      <c r="AK5" s="116"/>
      <c r="AL5" s="116"/>
      <c r="AM5" s="117"/>
      <c r="AN5" s="121" t="s">
        <v>35</v>
      </c>
      <c r="AO5" s="122"/>
      <c r="AP5" s="125" t="s">
        <v>16</v>
      </c>
      <c r="AQ5" s="108" t="s">
        <v>36</v>
      </c>
      <c r="AR5" s="128"/>
      <c r="AS5" s="128"/>
      <c r="AT5" s="128"/>
    </row>
    <row r="6" spans="1:46" s="2" customFormat="1" ht="10.5" customHeight="1">
      <c r="A6" s="77"/>
      <c r="B6" s="72"/>
      <c r="C6" s="72"/>
      <c r="D6" s="72"/>
      <c r="E6" s="72"/>
      <c r="F6" s="74"/>
      <c r="G6" s="85"/>
      <c r="H6" s="93" t="s">
        <v>18</v>
      </c>
      <c r="I6" s="94" t="s">
        <v>19</v>
      </c>
      <c r="J6" s="86" t="s">
        <v>20</v>
      </c>
      <c r="K6" s="86"/>
      <c r="L6" s="87"/>
      <c r="M6" s="88"/>
      <c r="N6" s="91"/>
      <c r="O6" s="92"/>
      <c r="P6" s="98"/>
      <c r="Q6" s="99"/>
      <c r="R6" s="102"/>
      <c r="S6" s="103"/>
      <c r="T6" s="104"/>
      <c r="U6" s="106"/>
      <c r="V6" s="82"/>
      <c r="W6" s="83"/>
      <c r="X6" s="83"/>
      <c r="Y6" s="83"/>
      <c r="Z6" s="83"/>
      <c r="AA6" s="84"/>
      <c r="AB6" s="112"/>
      <c r="AC6" s="113"/>
      <c r="AD6" s="113"/>
      <c r="AE6" s="113"/>
      <c r="AF6" s="113"/>
      <c r="AG6" s="114"/>
      <c r="AH6" s="118"/>
      <c r="AI6" s="119"/>
      <c r="AJ6" s="119"/>
      <c r="AK6" s="119"/>
      <c r="AL6" s="119"/>
      <c r="AM6" s="120"/>
      <c r="AN6" s="123"/>
      <c r="AO6" s="124"/>
      <c r="AP6" s="126"/>
      <c r="AQ6" s="108"/>
      <c r="AR6" s="128"/>
      <c r="AS6" s="128"/>
      <c r="AT6" s="128"/>
    </row>
    <row r="7" spans="1:46" s="2" customFormat="1" ht="55.5" customHeight="1">
      <c r="A7" s="78"/>
      <c r="B7" s="72"/>
      <c r="C7" s="72"/>
      <c r="D7" s="72"/>
      <c r="E7" s="72"/>
      <c r="F7" s="75"/>
      <c r="G7" s="85"/>
      <c r="H7" s="93"/>
      <c r="I7" s="95"/>
      <c r="J7" s="26" t="s">
        <v>22</v>
      </c>
      <c r="K7" s="26" t="s">
        <v>23</v>
      </c>
      <c r="L7" s="87"/>
      <c r="M7" s="88"/>
      <c r="N7" s="40" t="s">
        <v>24</v>
      </c>
      <c r="O7" s="41" t="s">
        <v>17</v>
      </c>
      <c r="P7" s="40" t="s">
        <v>25</v>
      </c>
      <c r="Q7" s="42" t="s">
        <v>17</v>
      </c>
      <c r="R7" s="43" t="s">
        <v>26</v>
      </c>
      <c r="S7" s="44" t="s">
        <v>17</v>
      </c>
      <c r="T7" s="104"/>
      <c r="U7" s="107"/>
      <c r="V7" s="51" t="s">
        <v>27</v>
      </c>
      <c r="W7" s="51" t="s">
        <v>28</v>
      </c>
      <c r="X7" s="51" t="s">
        <v>29</v>
      </c>
      <c r="Y7" s="51" t="s">
        <v>30</v>
      </c>
      <c r="Z7" s="51" t="s">
        <v>20</v>
      </c>
      <c r="AA7" s="51" t="s">
        <v>31</v>
      </c>
      <c r="AB7" s="25" t="s">
        <v>27</v>
      </c>
      <c r="AC7" s="25" t="s">
        <v>28</v>
      </c>
      <c r="AD7" s="25" t="s">
        <v>29</v>
      </c>
      <c r="AE7" s="25" t="s">
        <v>30</v>
      </c>
      <c r="AF7" s="25" t="s">
        <v>20</v>
      </c>
      <c r="AG7" s="25" t="s">
        <v>31</v>
      </c>
      <c r="AH7" s="34" t="s">
        <v>27</v>
      </c>
      <c r="AI7" s="34" t="s">
        <v>28</v>
      </c>
      <c r="AJ7" s="34" t="s">
        <v>29</v>
      </c>
      <c r="AK7" s="34" t="s">
        <v>30</v>
      </c>
      <c r="AL7" s="34" t="s">
        <v>20</v>
      </c>
      <c r="AM7" s="34" t="s">
        <v>31</v>
      </c>
      <c r="AN7" s="52" t="s">
        <v>32</v>
      </c>
      <c r="AO7" s="35" t="s">
        <v>33</v>
      </c>
      <c r="AP7" s="30" t="s">
        <v>34</v>
      </c>
      <c r="AQ7" s="108"/>
      <c r="AR7" s="128"/>
      <c r="AS7" s="128"/>
      <c r="AT7" s="128"/>
    </row>
    <row r="8" spans="1:46" s="3" customFormat="1" ht="18" customHeight="1">
      <c r="A8" s="7"/>
      <c r="B8" s="8"/>
      <c r="C8" s="7"/>
      <c r="D8" s="7"/>
      <c r="E8" s="8"/>
      <c r="F8" s="7"/>
      <c r="G8" s="8"/>
      <c r="H8" s="19"/>
      <c r="I8" s="21"/>
      <c r="J8" s="8"/>
      <c r="K8" s="7"/>
      <c r="L8" s="8"/>
      <c r="M8" s="7"/>
      <c r="N8" s="8"/>
      <c r="O8" s="28"/>
      <c r="P8" s="7"/>
      <c r="Q8" s="8"/>
      <c r="R8" s="7"/>
      <c r="S8" s="28"/>
      <c r="T8" s="8"/>
      <c r="U8" s="7"/>
      <c r="V8" s="8"/>
      <c r="W8" s="7"/>
      <c r="X8" s="7"/>
      <c r="Y8" s="8"/>
      <c r="Z8" s="7"/>
      <c r="AA8" s="7"/>
      <c r="AB8" s="8"/>
      <c r="AC8" s="7"/>
      <c r="AD8" s="7"/>
      <c r="AE8" s="8"/>
      <c r="AF8" s="7"/>
      <c r="AG8" s="7"/>
      <c r="AH8" s="8"/>
      <c r="AI8" s="7"/>
      <c r="AJ8" s="7"/>
      <c r="AK8" s="8"/>
      <c r="AL8" s="7"/>
      <c r="AM8" s="7"/>
      <c r="AN8" s="9"/>
      <c r="AO8" s="7"/>
      <c r="AP8" s="31"/>
      <c r="AQ8" s="32"/>
      <c r="AR8" s="129"/>
      <c r="AS8" s="129"/>
      <c r="AT8" s="129"/>
    </row>
    <row r="9" spans="1:46" s="2" customFormat="1" ht="25.5">
      <c r="A9" s="45" t="s">
        <v>47</v>
      </c>
      <c r="B9" s="38" t="s">
        <v>48</v>
      </c>
      <c r="C9" s="38" t="str">
        <f t="shared" ref="C9:C21" si="0">B9</f>
        <v>SAN MARTIN CHALCHICUAUTLA</v>
      </c>
      <c r="D9" s="14" t="s">
        <v>49</v>
      </c>
      <c r="E9" s="36" t="s">
        <v>50</v>
      </c>
      <c r="F9" s="46" t="s">
        <v>51</v>
      </c>
      <c r="G9" s="14"/>
      <c r="H9" s="48" t="s">
        <v>46</v>
      </c>
      <c r="I9" s="48">
        <v>1</v>
      </c>
      <c r="J9" s="48">
        <v>713</v>
      </c>
      <c r="K9" s="48">
        <v>161</v>
      </c>
      <c r="L9" s="16" t="s">
        <v>52</v>
      </c>
      <c r="M9" s="11" t="s">
        <v>53</v>
      </c>
      <c r="N9" s="14" t="s">
        <v>54</v>
      </c>
      <c r="O9" s="47">
        <v>42523</v>
      </c>
      <c r="P9" s="15" t="s">
        <v>649</v>
      </c>
      <c r="Q9" s="16">
        <v>42611</v>
      </c>
      <c r="R9" s="14" t="s">
        <v>55</v>
      </c>
      <c r="S9" s="29">
        <v>42381</v>
      </c>
      <c r="T9" s="12" t="s">
        <v>43</v>
      </c>
      <c r="U9" s="10" t="s">
        <v>56</v>
      </c>
      <c r="V9" s="24">
        <f t="shared" ref="V9" si="1">+SUM(W9:AA9)</f>
        <v>5766462.9400000004</v>
      </c>
      <c r="W9" s="24">
        <v>0</v>
      </c>
      <c r="X9" s="50">
        <v>2883231.47</v>
      </c>
      <c r="Y9" s="24">
        <v>2883231.47</v>
      </c>
      <c r="Z9" s="24">
        <v>0</v>
      </c>
      <c r="AA9" s="24">
        <v>0</v>
      </c>
      <c r="AB9" s="24">
        <f t="shared" ref="AB9" si="2">+SUM(AC9:AG9)</f>
        <v>-20136.099999999999</v>
      </c>
      <c r="AC9" s="24">
        <v>0</v>
      </c>
      <c r="AD9" s="50">
        <v>-10068.049999999999</v>
      </c>
      <c r="AE9" s="24">
        <v>-10068.049999999999</v>
      </c>
      <c r="AF9" s="24">
        <v>0</v>
      </c>
      <c r="AG9" s="24">
        <v>0</v>
      </c>
      <c r="AH9" s="22">
        <f t="shared" ref="AH9" si="3">+SUM(AI9:AM9)</f>
        <v>5746326.8400000008</v>
      </c>
      <c r="AI9" s="22">
        <f t="shared" ref="AI9:AI38" si="4">+W9+AC9</f>
        <v>0</v>
      </c>
      <c r="AJ9" s="37">
        <f t="shared" ref="AJ9:AJ38" si="5">+X9+AD9</f>
        <v>2873163.4200000004</v>
      </c>
      <c r="AK9" s="22">
        <f t="shared" ref="AK9:AK38" si="6">+Y9+AE9</f>
        <v>2873163.4200000004</v>
      </c>
      <c r="AL9" s="22">
        <f t="shared" ref="AL9:AL38" si="7">+Z9+AF9</f>
        <v>0</v>
      </c>
      <c r="AM9" s="22">
        <f t="shared" ref="AM9:AM38" si="8">+AA9+AG9</f>
        <v>0</v>
      </c>
      <c r="AN9" s="53">
        <f>2011214.48+861948.94</f>
        <v>2873163.42</v>
      </c>
      <c r="AO9" s="13">
        <f t="shared" ref="AO9" si="9">+IF(AJ9=0,"N/A",(AN9)/AJ9)</f>
        <v>0.99999999999999989</v>
      </c>
      <c r="AP9" s="17">
        <f t="shared" ref="AP9" si="10">+AJ9-AN9</f>
        <v>0</v>
      </c>
      <c r="AQ9" s="33"/>
      <c r="AR9" s="128"/>
      <c r="AS9" s="128"/>
      <c r="AT9" s="128"/>
    </row>
    <row r="10" spans="1:46" s="2" customFormat="1" ht="38.25">
      <c r="A10" s="45" t="s">
        <v>57</v>
      </c>
      <c r="B10" s="38" t="s">
        <v>58</v>
      </c>
      <c r="C10" s="38" t="str">
        <f t="shared" si="0"/>
        <v>MATLAPA</v>
      </c>
      <c r="D10" s="14" t="s">
        <v>59</v>
      </c>
      <c r="E10" s="36" t="s">
        <v>60</v>
      </c>
      <c r="F10" s="46" t="s">
        <v>51</v>
      </c>
      <c r="G10" s="14"/>
      <c r="H10" s="48" t="s">
        <v>46</v>
      </c>
      <c r="I10" s="48">
        <v>1</v>
      </c>
      <c r="J10" s="48">
        <v>527</v>
      </c>
      <c r="K10" s="48">
        <v>130</v>
      </c>
      <c r="L10" s="16" t="s">
        <v>61</v>
      </c>
      <c r="M10" s="11" t="s">
        <v>53</v>
      </c>
      <c r="N10" s="14" t="s">
        <v>62</v>
      </c>
      <c r="O10" s="47">
        <v>42528</v>
      </c>
      <c r="P10" s="15"/>
      <c r="Q10" s="16"/>
      <c r="R10" s="14" t="s">
        <v>55</v>
      </c>
      <c r="S10" s="29">
        <v>42381</v>
      </c>
      <c r="T10" s="12" t="s">
        <v>43</v>
      </c>
      <c r="U10" s="10" t="s">
        <v>56</v>
      </c>
      <c r="V10" s="24">
        <f t="shared" ref="V10" si="11">+SUM(W10:AA10)</f>
        <v>4828982.6399999997</v>
      </c>
      <c r="W10" s="24">
        <v>0</v>
      </c>
      <c r="X10" s="50">
        <v>2414491.3199999998</v>
      </c>
      <c r="Y10" s="24">
        <v>2414491.3199999998</v>
      </c>
      <c r="Z10" s="24">
        <v>0</v>
      </c>
      <c r="AA10" s="24">
        <v>0</v>
      </c>
      <c r="AB10" s="24">
        <f t="shared" ref="AB10" si="12">+SUM(AC10:AG10)</f>
        <v>0</v>
      </c>
      <c r="AC10" s="24">
        <v>0</v>
      </c>
      <c r="AD10" s="50">
        <v>0</v>
      </c>
      <c r="AE10" s="24">
        <v>0</v>
      </c>
      <c r="AF10" s="24">
        <v>0</v>
      </c>
      <c r="AG10" s="24">
        <v>0</v>
      </c>
      <c r="AH10" s="22">
        <f t="shared" ref="AH10" si="13">+SUM(AI10:AM10)</f>
        <v>4828982.6399999997</v>
      </c>
      <c r="AI10" s="22">
        <f t="shared" si="4"/>
        <v>0</v>
      </c>
      <c r="AJ10" s="37">
        <f t="shared" si="5"/>
        <v>2414491.3199999998</v>
      </c>
      <c r="AK10" s="22">
        <f t="shared" si="6"/>
        <v>2414491.3199999998</v>
      </c>
      <c r="AL10" s="22">
        <f t="shared" si="7"/>
        <v>0</v>
      </c>
      <c r="AM10" s="22">
        <f t="shared" si="8"/>
        <v>0</v>
      </c>
      <c r="AN10" s="53">
        <f>1689727.36+724347</f>
        <v>2414074.3600000003</v>
      </c>
      <c r="AO10" s="13">
        <f t="shared" ref="AO10" si="14">+IF(AJ10=0,"N/A",(AN10)/AJ10)</f>
        <v>0.99982730938125741</v>
      </c>
      <c r="AP10" s="17">
        <f t="shared" ref="AP10" si="15">+AJ10-AN10</f>
        <v>416.95999999949709</v>
      </c>
      <c r="AQ10" s="33"/>
      <c r="AR10" s="128"/>
      <c r="AS10" s="128"/>
      <c r="AT10" s="128"/>
    </row>
    <row r="11" spans="1:46" s="2" customFormat="1" ht="38.25">
      <c r="A11" s="45" t="s">
        <v>63</v>
      </c>
      <c r="B11" s="38" t="s">
        <v>64</v>
      </c>
      <c r="C11" s="38" t="str">
        <f t="shared" si="0"/>
        <v>AXTLA DE TERRAZAS</v>
      </c>
      <c r="D11" s="14" t="s">
        <v>65</v>
      </c>
      <c r="E11" s="36" t="s">
        <v>66</v>
      </c>
      <c r="F11" s="46" t="s">
        <v>51</v>
      </c>
      <c r="G11" s="14"/>
      <c r="H11" s="48" t="s">
        <v>46</v>
      </c>
      <c r="I11" s="48">
        <v>1</v>
      </c>
      <c r="J11" s="48">
        <v>1061</v>
      </c>
      <c r="K11" s="48">
        <v>277</v>
      </c>
      <c r="L11" s="16" t="s">
        <v>52</v>
      </c>
      <c r="M11" s="11" t="s">
        <v>53</v>
      </c>
      <c r="N11" s="14" t="s">
        <v>67</v>
      </c>
      <c r="O11" s="47">
        <v>42529</v>
      </c>
      <c r="P11" s="15" t="s">
        <v>647</v>
      </c>
      <c r="Q11" s="16">
        <v>42597</v>
      </c>
      <c r="R11" s="14" t="s">
        <v>55</v>
      </c>
      <c r="S11" s="29">
        <v>42381</v>
      </c>
      <c r="T11" s="12" t="s">
        <v>43</v>
      </c>
      <c r="U11" s="10" t="s">
        <v>56</v>
      </c>
      <c r="V11" s="24">
        <f t="shared" ref="V11" si="16">+SUM(W11:AA11)</f>
        <v>2656321.14</v>
      </c>
      <c r="W11" s="24">
        <v>0</v>
      </c>
      <c r="X11" s="50">
        <v>1328160.57</v>
      </c>
      <c r="Y11" s="24">
        <v>1328160.57</v>
      </c>
      <c r="Z11" s="24">
        <v>0</v>
      </c>
      <c r="AA11" s="24">
        <v>0</v>
      </c>
      <c r="AB11" s="24">
        <f t="shared" ref="AB11" si="17">+SUM(AC11:AG11)</f>
        <v>-1058.96</v>
      </c>
      <c r="AC11" s="24">
        <v>0</v>
      </c>
      <c r="AD11" s="50">
        <v>-529.48</v>
      </c>
      <c r="AE11" s="24">
        <v>-529.48</v>
      </c>
      <c r="AF11" s="24">
        <v>0</v>
      </c>
      <c r="AG11" s="24">
        <v>0</v>
      </c>
      <c r="AH11" s="22">
        <f t="shared" ref="AH11" si="18">+SUM(AI11:AM11)</f>
        <v>2655262.1800000002</v>
      </c>
      <c r="AI11" s="22">
        <f t="shared" si="4"/>
        <v>0</v>
      </c>
      <c r="AJ11" s="37">
        <f t="shared" si="5"/>
        <v>1327631.0900000001</v>
      </c>
      <c r="AK11" s="22">
        <f t="shared" si="6"/>
        <v>1327631.0900000001</v>
      </c>
      <c r="AL11" s="22">
        <f t="shared" si="7"/>
        <v>0</v>
      </c>
      <c r="AM11" s="22">
        <f t="shared" si="8"/>
        <v>0</v>
      </c>
      <c r="AN11" s="53">
        <f>929341.76+398289.33</f>
        <v>1327631.0900000001</v>
      </c>
      <c r="AO11" s="13">
        <f t="shared" ref="AO11" si="19">+IF(AJ11=0,"N/A",(AN11)/AJ11)</f>
        <v>1</v>
      </c>
      <c r="AP11" s="17">
        <f t="shared" ref="AP11" si="20">+AJ11-AN11</f>
        <v>0</v>
      </c>
      <c r="AQ11" s="33"/>
      <c r="AR11" s="128"/>
      <c r="AS11" s="128"/>
      <c r="AT11" s="128"/>
    </row>
    <row r="12" spans="1:46" s="2" customFormat="1" ht="38.25">
      <c r="A12" s="45" t="s">
        <v>68</v>
      </c>
      <c r="B12" s="38" t="s">
        <v>69</v>
      </c>
      <c r="C12" s="38" t="str">
        <f t="shared" si="0"/>
        <v>TAMPAMOLON CORONA</v>
      </c>
      <c r="D12" s="14" t="s">
        <v>70</v>
      </c>
      <c r="E12" s="36" t="s">
        <v>71</v>
      </c>
      <c r="F12" s="46" t="s">
        <v>72</v>
      </c>
      <c r="G12" s="14"/>
      <c r="H12" s="48" t="s">
        <v>73</v>
      </c>
      <c r="I12" s="48">
        <v>4642.75</v>
      </c>
      <c r="J12" s="48">
        <v>823</v>
      </c>
      <c r="K12" s="48">
        <v>215</v>
      </c>
      <c r="L12" s="16" t="s">
        <v>74</v>
      </c>
      <c r="M12" s="11" t="s">
        <v>53</v>
      </c>
      <c r="N12" s="14" t="s">
        <v>75</v>
      </c>
      <c r="O12" s="47">
        <v>42529</v>
      </c>
      <c r="P12" s="15"/>
      <c r="Q12" s="16"/>
      <c r="R12" s="14" t="s">
        <v>55</v>
      </c>
      <c r="S12" s="29">
        <v>42381</v>
      </c>
      <c r="T12" s="12" t="s">
        <v>43</v>
      </c>
      <c r="U12" s="10" t="s">
        <v>56</v>
      </c>
      <c r="V12" s="24">
        <f t="shared" ref="V12" si="21">+SUM(W12:AA12)</f>
        <v>8593484.2799999993</v>
      </c>
      <c r="W12" s="24">
        <v>0</v>
      </c>
      <c r="X12" s="50">
        <v>4296742.1399999997</v>
      </c>
      <c r="Y12" s="24">
        <v>4296742.1399999997</v>
      </c>
      <c r="Z12" s="24">
        <v>0</v>
      </c>
      <c r="AA12" s="24">
        <v>0</v>
      </c>
      <c r="AB12" s="24">
        <f t="shared" ref="AB12" si="22">+SUM(AC12:AG12)</f>
        <v>0</v>
      </c>
      <c r="AC12" s="24">
        <v>0</v>
      </c>
      <c r="AD12" s="50">
        <v>0</v>
      </c>
      <c r="AE12" s="24">
        <v>0</v>
      </c>
      <c r="AF12" s="24">
        <v>0</v>
      </c>
      <c r="AG12" s="24">
        <v>0</v>
      </c>
      <c r="AH12" s="22">
        <f t="shared" ref="AH12" si="23">+SUM(AI12:AM12)</f>
        <v>8593484.2799999993</v>
      </c>
      <c r="AI12" s="22">
        <f t="shared" si="4"/>
        <v>0</v>
      </c>
      <c r="AJ12" s="37">
        <f t="shared" si="5"/>
        <v>4296742.1399999997</v>
      </c>
      <c r="AK12" s="22">
        <f t="shared" si="6"/>
        <v>4296742.1399999997</v>
      </c>
      <c r="AL12" s="22">
        <f t="shared" si="7"/>
        <v>0</v>
      </c>
      <c r="AM12" s="22">
        <f t="shared" si="8"/>
        <v>0</v>
      </c>
      <c r="AN12" s="53">
        <f>1289022.64</f>
        <v>1289022.6399999999</v>
      </c>
      <c r="AO12" s="13">
        <f t="shared" ref="AO12" si="24">+IF(AJ12=0,"N/A",(AN12)/AJ12)</f>
        <v>0.29999999953453105</v>
      </c>
      <c r="AP12" s="17">
        <f t="shared" ref="AP12" si="25">+AJ12-AN12</f>
        <v>3007719.5</v>
      </c>
      <c r="AQ12" s="33"/>
      <c r="AR12" s="128"/>
      <c r="AS12" s="128"/>
      <c r="AT12" s="128"/>
    </row>
    <row r="13" spans="1:46" s="2" customFormat="1" ht="38.25">
      <c r="A13" s="45" t="s">
        <v>42</v>
      </c>
      <c r="B13" s="38" t="s">
        <v>76</v>
      </c>
      <c r="C13" s="38" t="str">
        <f t="shared" si="0"/>
        <v>SEDESORE</v>
      </c>
      <c r="D13" s="14" t="str">
        <f>C13</f>
        <v>SEDESORE</v>
      </c>
      <c r="E13" s="36" t="s">
        <v>77</v>
      </c>
      <c r="F13" s="46" t="s">
        <v>78</v>
      </c>
      <c r="G13" s="14"/>
      <c r="H13" s="48" t="s">
        <v>45</v>
      </c>
      <c r="I13" s="48">
        <v>33</v>
      </c>
      <c r="J13" s="48">
        <v>33</v>
      </c>
      <c r="K13" s="48">
        <v>0</v>
      </c>
      <c r="L13" s="16" t="s">
        <v>79</v>
      </c>
      <c r="M13" s="11" t="s">
        <v>80</v>
      </c>
      <c r="N13" s="14" t="s">
        <v>81</v>
      </c>
      <c r="O13" s="47">
        <v>42529</v>
      </c>
      <c r="P13" s="15"/>
      <c r="Q13" s="16"/>
      <c r="R13" s="14" t="s">
        <v>55</v>
      </c>
      <c r="S13" s="29">
        <v>42381</v>
      </c>
      <c r="T13" s="12" t="s">
        <v>43</v>
      </c>
      <c r="U13" s="10" t="s">
        <v>56</v>
      </c>
      <c r="V13" s="24">
        <f t="shared" ref="V13" si="26">+SUM(W13:AA13)</f>
        <v>4461099</v>
      </c>
      <c r="W13" s="24">
        <v>0</v>
      </c>
      <c r="X13" s="50">
        <v>4461099</v>
      </c>
      <c r="Y13" s="24">
        <v>0</v>
      </c>
      <c r="Z13" s="24">
        <v>0</v>
      </c>
      <c r="AA13" s="24">
        <v>0</v>
      </c>
      <c r="AB13" s="24">
        <f t="shared" ref="AB13" si="27">+SUM(AC13:AG13)</f>
        <v>0</v>
      </c>
      <c r="AC13" s="24">
        <v>0</v>
      </c>
      <c r="AD13" s="50">
        <v>0</v>
      </c>
      <c r="AE13" s="24">
        <v>0</v>
      </c>
      <c r="AF13" s="24">
        <v>0</v>
      </c>
      <c r="AG13" s="24">
        <v>0</v>
      </c>
      <c r="AH13" s="22">
        <f t="shared" ref="AH13" si="28">+SUM(AI13:AM13)</f>
        <v>4461099</v>
      </c>
      <c r="AI13" s="22">
        <f t="shared" si="4"/>
        <v>0</v>
      </c>
      <c r="AJ13" s="37">
        <f t="shared" si="5"/>
        <v>4461099</v>
      </c>
      <c r="AK13" s="22">
        <f t="shared" si="6"/>
        <v>0</v>
      </c>
      <c r="AL13" s="22">
        <f t="shared" si="7"/>
        <v>0</v>
      </c>
      <c r="AM13" s="22">
        <f t="shared" si="8"/>
        <v>0</v>
      </c>
      <c r="AN13" s="53">
        <f>1189626.4+2230549.5+1040923.1</f>
        <v>4461099</v>
      </c>
      <c r="AO13" s="13">
        <f t="shared" ref="AO13" si="29">+IF(AJ13=0,"N/A",(AN13)/AJ13)</f>
        <v>1</v>
      </c>
      <c r="AP13" s="17">
        <f t="shared" ref="AP13" si="30">+AJ13-AN13</f>
        <v>0</v>
      </c>
      <c r="AQ13" s="33"/>
      <c r="AR13" s="128"/>
      <c r="AS13" s="128"/>
      <c r="AT13" s="128"/>
    </row>
    <row r="14" spans="1:46" s="2" customFormat="1" ht="38.25">
      <c r="A14" s="45" t="s">
        <v>82</v>
      </c>
      <c r="B14" s="38" t="s">
        <v>83</v>
      </c>
      <c r="C14" s="38" t="str">
        <f t="shared" si="0"/>
        <v>SAN VICENTE TANCUAYALAB</v>
      </c>
      <c r="D14" s="14" t="str">
        <f>C14</f>
        <v>SAN VICENTE TANCUAYALAB</v>
      </c>
      <c r="E14" s="36" t="s">
        <v>84</v>
      </c>
      <c r="F14" s="46" t="s">
        <v>72</v>
      </c>
      <c r="G14" s="14"/>
      <c r="H14" s="48" t="s">
        <v>73</v>
      </c>
      <c r="I14" s="48">
        <v>2793.35</v>
      </c>
      <c r="J14" s="48">
        <v>525</v>
      </c>
      <c r="K14" s="48">
        <v>137</v>
      </c>
      <c r="L14" s="16" t="s">
        <v>85</v>
      </c>
      <c r="M14" s="11" t="s">
        <v>53</v>
      </c>
      <c r="N14" s="14" t="s">
        <v>86</v>
      </c>
      <c r="O14" s="47">
        <v>42552</v>
      </c>
      <c r="P14" s="15"/>
      <c r="Q14" s="16"/>
      <c r="R14" s="14" t="s">
        <v>55</v>
      </c>
      <c r="S14" s="29">
        <v>42381</v>
      </c>
      <c r="T14" s="12" t="s">
        <v>43</v>
      </c>
      <c r="U14" s="10" t="s">
        <v>56</v>
      </c>
      <c r="V14" s="24">
        <f t="shared" ref="V14" si="31">+SUM(W14:AA14)</f>
        <v>3882518.42</v>
      </c>
      <c r="W14" s="24">
        <v>0</v>
      </c>
      <c r="X14" s="50">
        <v>1941259.21</v>
      </c>
      <c r="Y14" s="24">
        <v>1941259.21</v>
      </c>
      <c r="Z14" s="24">
        <v>0</v>
      </c>
      <c r="AA14" s="24">
        <v>0</v>
      </c>
      <c r="AB14" s="24">
        <f t="shared" ref="AB14" si="32">+SUM(AC14:AG14)</f>
        <v>0</v>
      </c>
      <c r="AC14" s="24">
        <v>0</v>
      </c>
      <c r="AD14" s="50">
        <v>0</v>
      </c>
      <c r="AE14" s="24">
        <v>0</v>
      </c>
      <c r="AF14" s="24">
        <v>0</v>
      </c>
      <c r="AG14" s="24">
        <v>0</v>
      </c>
      <c r="AH14" s="22">
        <f t="shared" ref="AH14" si="33">+SUM(AI14:AM14)</f>
        <v>3882518.42</v>
      </c>
      <c r="AI14" s="22">
        <f t="shared" si="4"/>
        <v>0</v>
      </c>
      <c r="AJ14" s="37">
        <f t="shared" si="5"/>
        <v>1941259.21</v>
      </c>
      <c r="AK14" s="22">
        <f t="shared" si="6"/>
        <v>1941259.21</v>
      </c>
      <c r="AL14" s="22">
        <f t="shared" si="7"/>
        <v>0</v>
      </c>
      <c r="AM14" s="22">
        <f t="shared" si="8"/>
        <v>0</v>
      </c>
      <c r="AN14" s="53">
        <f>1358378.26+582377.76</f>
        <v>1940756.02</v>
      </c>
      <c r="AO14" s="13">
        <f t="shared" ref="AO14" si="34">+IF(AJ14=0,"N/A",(AN14)/AJ14)</f>
        <v>0.99974079195740173</v>
      </c>
      <c r="AP14" s="17">
        <f t="shared" ref="AP14" si="35">+AJ14-AN14</f>
        <v>503.18999999994412</v>
      </c>
      <c r="AQ14" s="33"/>
      <c r="AR14" s="128"/>
      <c r="AS14" s="128"/>
      <c r="AT14" s="128"/>
    </row>
    <row r="15" spans="1:46" s="2" customFormat="1" ht="38.25">
      <c r="A15" s="45" t="s">
        <v>87</v>
      </c>
      <c r="B15" s="38" t="s">
        <v>88</v>
      </c>
      <c r="C15" s="38" t="str">
        <f t="shared" si="0"/>
        <v>VANEGAS</v>
      </c>
      <c r="D15" s="14" t="str">
        <f>C15</f>
        <v>VANEGAS</v>
      </c>
      <c r="E15" s="36" t="s">
        <v>89</v>
      </c>
      <c r="F15" s="46" t="s">
        <v>72</v>
      </c>
      <c r="G15" s="14"/>
      <c r="H15" s="48" t="s">
        <v>73</v>
      </c>
      <c r="I15" s="48">
        <v>956.4</v>
      </c>
      <c r="J15" s="48">
        <v>249</v>
      </c>
      <c r="K15" s="48">
        <v>65</v>
      </c>
      <c r="L15" s="16" t="s">
        <v>90</v>
      </c>
      <c r="M15" s="11" t="s">
        <v>53</v>
      </c>
      <c r="N15" s="14" t="s">
        <v>91</v>
      </c>
      <c r="O15" s="47">
        <v>42552</v>
      </c>
      <c r="P15" s="15"/>
      <c r="Q15" s="16"/>
      <c r="R15" s="14" t="s">
        <v>55</v>
      </c>
      <c r="S15" s="29">
        <v>42381</v>
      </c>
      <c r="T15" s="12" t="s">
        <v>43</v>
      </c>
      <c r="U15" s="10" t="s">
        <v>56</v>
      </c>
      <c r="V15" s="24">
        <f t="shared" ref="V15" si="36">+SUM(W15:AA15)</f>
        <v>1984646.9</v>
      </c>
      <c r="W15" s="24">
        <v>0</v>
      </c>
      <c r="X15" s="50">
        <v>992323.45</v>
      </c>
      <c r="Y15" s="24">
        <v>992323.45</v>
      </c>
      <c r="Z15" s="24">
        <v>0</v>
      </c>
      <c r="AA15" s="24">
        <v>0</v>
      </c>
      <c r="AB15" s="24">
        <f t="shared" ref="AB15" si="37">+SUM(AC15:AG15)</f>
        <v>0</v>
      </c>
      <c r="AC15" s="24">
        <v>0</v>
      </c>
      <c r="AD15" s="50">
        <v>0</v>
      </c>
      <c r="AE15" s="24">
        <v>0</v>
      </c>
      <c r="AF15" s="24">
        <v>0</v>
      </c>
      <c r="AG15" s="24">
        <v>0</v>
      </c>
      <c r="AH15" s="22">
        <f t="shared" ref="AH15" si="38">+SUM(AI15:AM15)</f>
        <v>1984646.9</v>
      </c>
      <c r="AI15" s="22">
        <f t="shared" si="4"/>
        <v>0</v>
      </c>
      <c r="AJ15" s="37">
        <f t="shared" si="5"/>
        <v>992323.45</v>
      </c>
      <c r="AK15" s="22">
        <f t="shared" si="6"/>
        <v>992323.45</v>
      </c>
      <c r="AL15" s="22">
        <f t="shared" si="7"/>
        <v>0</v>
      </c>
      <c r="AM15" s="22">
        <f t="shared" si="8"/>
        <v>0</v>
      </c>
      <c r="AN15" s="53">
        <f>297697</f>
        <v>297697</v>
      </c>
      <c r="AO15" s="13">
        <f t="shared" ref="AO15" si="39">+IF(AJ15=0,"N/A",(AN15)/AJ15)</f>
        <v>0.29999996472924229</v>
      </c>
      <c r="AP15" s="17">
        <f t="shared" ref="AP15" si="40">+AJ15-AN15</f>
        <v>694626.45</v>
      </c>
      <c r="AQ15" s="33"/>
      <c r="AR15" s="128"/>
      <c r="AS15" s="128"/>
      <c r="AT15" s="128"/>
    </row>
    <row r="16" spans="1:46" s="2" customFormat="1" ht="38.25">
      <c r="A16" s="45" t="s">
        <v>92</v>
      </c>
      <c r="B16" s="38" t="s">
        <v>93</v>
      </c>
      <c r="C16" s="38" t="str">
        <f t="shared" si="0"/>
        <v>MOCTEZUMA</v>
      </c>
      <c r="D16" s="14" t="s">
        <v>94</v>
      </c>
      <c r="E16" s="36" t="s">
        <v>95</v>
      </c>
      <c r="F16" s="46" t="s">
        <v>51</v>
      </c>
      <c r="G16" s="14"/>
      <c r="H16" s="48" t="s">
        <v>96</v>
      </c>
      <c r="I16" s="48">
        <v>1</v>
      </c>
      <c r="J16" s="48">
        <v>226</v>
      </c>
      <c r="K16" s="48">
        <v>59</v>
      </c>
      <c r="L16" s="16" t="s">
        <v>85</v>
      </c>
      <c r="M16" s="11" t="s">
        <v>53</v>
      </c>
      <c r="N16" s="14" t="s">
        <v>97</v>
      </c>
      <c r="O16" s="47">
        <v>42562</v>
      </c>
      <c r="P16" s="15"/>
      <c r="Q16" s="16"/>
      <c r="R16" s="14" t="s">
        <v>55</v>
      </c>
      <c r="S16" s="29">
        <v>42381</v>
      </c>
      <c r="T16" s="12" t="s">
        <v>43</v>
      </c>
      <c r="U16" s="10" t="s">
        <v>56</v>
      </c>
      <c r="V16" s="24">
        <f t="shared" ref="V16" si="41">+SUM(W16:AA16)</f>
        <v>2124766.08</v>
      </c>
      <c r="W16" s="24">
        <v>0</v>
      </c>
      <c r="X16" s="50">
        <v>1062383.04</v>
      </c>
      <c r="Y16" s="24">
        <v>1062383.04</v>
      </c>
      <c r="Z16" s="24">
        <v>0</v>
      </c>
      <c r="AA16" s="24">
        <v>0</v>
      </c>
      <c r="AB16" s="24">
        <f t="shared" ref="AB16" si="42">+SUM(AC16:AG16)</f>
        <v>0</v>
      </c>
      <c r="AC16" s="24">
        <v>0</v>
      </c>
      <c r="AD16" s="50">
        <v>0</v>
      </c>
      <c r="AE16" s="24">
        <v>0</v>
      </c>
      <c r="AF16" s="24">
        <v>0</v>
      </c>
      <c r="AG16" s="24">
        <v>0</v>
      </c>
      <c r="AH16" s="22">
        <f t="shared" ref="AH16" si="43">+SUM(AI16:AM16)</f>
        <v>2124766.08</v>
      </c>
      <c r="AI16" s="22">
        <f t="shared" si="4"/>
        <v>0</v>
      </c>
      <c r="AJ16" s="37">
        <f t="shared" si="5"/>
        <v>1062383.04</v>
      </c>
      <c r="AK16" s="22">
        <f t="shared" si="6"/>
        <v>1062383.04</v>
      </c>
      <c r="AL16" s="22">
        <f t="shared" si="7"/>
        <v>0</v>
      </c>
      <c r="AM16" s="22">
        <f t="shared" si="8"/>
        <v>0</v>
      </c>
      <c r="AN16" s="53">
        <f>317814</f>
        <v>317814</v>
      </c>
      <c r="AO16" s="13">
        <f t="shared" ref="AO16" si="44">+IF(AJ16=0,"N/A",(AN16)/AJ16)</f>
        <v>0.29915198947453076</v>
      </c>
      <c r="AP16" s="17">
        <f t="shared" ref="AP16" si="45">+AJ16-AN16</f>
        <v>744569.04</v>
      </c>
      <c r="AQ16" s="33"/>
      <c r="AR16" s="128"/>
      <c r="AS16" s="128"/>
      <c r="AT16" s="128"/>
    </row>
    <row r="17" spans="1:46" s="2" customFormat="1" ht="25.5">
      <c r="A17" s="45" t="s">
        <v>98</v>
      </c>
      <c r="B17" s="38" t="s">
        <v>99</v>
      </c>
      <c r="C17" s="38" t="str">
        <f t="shared" si="0"/>
        <v>TANCANHUITZ DE SANTOS</v>
      </c>
      <c r="D17" s="14" t="s">
        <v>100</v>
      </c>
      <c r="E17" s="36" t="s">
        <v>101</v>
      </c>
      <c r="F17" s="46" t="s">
        <v>51</v>
      </c>
      <c r="G17" s="14"/>
      <c r="H17" s="48" t="s">
        <v>46</v>
      </c>
      <c r="I17" s="48">
        <v>1</v>
      </c>
      <c r="J17" s="48">
        <v>376</v>
      </c>
      <c r="K17" s="48">
        <v>136</v>
      </c>
      <c r="L17" s="16" t="s">
        <v>85</v>
      </c>
      <c r="M17" s="11" t="s">
        <v>53</v>
      </c>
      <c r="N17" s="14" t="s">
        <v>102</v>
      </c>
      <c r="O17" s="47">
        <v>42562</v>
      </c>
      <c r="P17" s="15"/>
      <c r="Q17" s="16"/>
      <c r="R17" s="14" t="s">
        <v>55</v>
      </c>
      <c r="S17" s="29">
        <v>42381</v>
      </c>
      <c r="T17" s="12" t="s">
        <v>43</v>
      </c>
      <c r="U17" s="10" t="s">
        <v>56</v>
      </c>
      <c r="V17" s="24">
        <f t="shared" ref="V17" si="46">+SUM(W17:AA17)</f>
        <v>5142360.6399999997</v>
      </c>
      <c r="W17" s="24">
        <v>0</v>
      </c>
      <c r="X17" s="50">
        <v>2571180.3199999998</v>
      </c>
      <c r="Y17" s="24">
        <v>2571180.3199999998</v>
      </c>
      <c r="Z17" s="24">
        <v>0</v>
      </c>
      <c r="AA17" s="24">
        <v>0</v>
      </c>
      <c r="AB17" s="24">
        <f t="shared" ref="AB17" si="47">+SUM(AC17:AG17)</f>
        <v>0</v>
      </c>
      <c r="AC17" s="24">
        <v>0</v>
      </c>
      <c r="AD17" s="50">
        <v>0</v>
      </c>
      <c r="AE17" s="24">
        <v>0</v>
      </c>
      <c r="AF17" s="24">
        <v>0</v>
      </c>
      <c r="AG17" s="24">
        <v>0</v>
      </c>
      <c r="AH17" s="22">
        <f t="shared" ref="AH17" si="48">+SUM(AI17:AM17)</f>
        <v>5142360.6399999997</v>
      </c>
      <c r="AI17" s="22">
        <f t="shared" si="4"/>
        <v>0</v>
      </c>
      <c r="AJ17" s="37">
        <f t="shared" si="5"/>
        <v>2571180.3199999998</v>
      </c>
      <c r="AK17" s="22">
        <f t="shared" si="6"/>
        <v>2571180.3199999998</v>
      </c>
      <c r="AL17" s="22">
        <f t="shared" si="7"/>
        <v>0</v>
      </c>
      <c r="AM17" s="22">
        <f t="shared" si="8"/>
        <v>0</v>
      </c>
      <c r="AN17" s="53">
        <f>771354.1</f>
        <v>771354.1</v>
      </c>
      <c r="AO17" s="13">
        <f t="shared" ref="AO17" si="49">+IF(AJ17=0,"N/A",(AN17)/AJ17)</f>
        <v>0.30000000155570578</v>
      </c>
      <c r="AP17" s="17">
        <f t="shared" ref="AP17" si="50">+AJ17-AN17</f>
        <v>1799826.2199999997</v>
      </c>
      <c r="AQ17" s="33"/>
      <c r="AR17" s="128"/>
      <c r="AS17" s="128"/>
      <c r="AT17" s="128"/>
    </row>
    <row r="18" spans="1:46" s="2" customFormat="1" ht="25.5">
      <c r="A18" s="45" t="s">
        <v>103</v>
      </c>
      <c r="B18" s="38" t="s">
        <v>104</v>
      </c>
      <c r="C18" s="38" t="str">
        <f t="shared" si="0"/>
        <v>SAN ANTONIO</v>
      </c>
      <c r="D18" s="14" t="s">
        <v>105</v>
      </c>
      <c r="E18" s="36" t="s">
        <v>106</v>
      </c>
      <c r="F18" s="46" t="s">
        <v>51</v>
      </c>
      <c r="G18" s="14"/>
      <c r="H18" s="48" t="s">
        <v>73</v>
      </c>
      <c r="I18" s="48">
        <v>3961.54</v>
      </c>
      <c r="J18" s="48">
        <v>536</v>
      </c>
      <c r="K18" s="48">
        <v>140</v>
      </c>
      <c r="L18" s="16" t="s">
        <v>107</v>
      </c>
      <c r="M18" s="11" t="s">
        <v>53</v>
      </c>
      <c r="N18" s="14" t="s">
        <v>108</v>
      </c>
      <c r="O18" s="47">
        <v>42564</v>
      </c>
      <c r="P18" s="15"/>
      <c r="Q18" s="16"/>
      <c r="R18" s="14" t="s">
        <v>55</v>
      </c>
      <c r="S18" s="29">
        <v>42381</v>
      </c>
      <c r="T18" s="12" t="s">
        <v>43</v>
      </c>
      <c r="U18" s="10" t="s">
        <v>56</v>
      </c>
      <c r="V18" s="24">
        <f t="shared" ref="V18" si="51">+SUM(W18:AA18)</f>
        <v>2983898.74</v>
      </c>
      <c r="W18" s="24">
        <v>0</v>
      </c>
      <c r="X18" s="50">
        <v>1491949.37</v>
      </c>
      <c r="Y18" s="24">
        <v>1491949.37</v>
      </c>
      <c r="Z18" s="24">
        <v>0</v>
      </c>
      <c r="AA18" s="24">
        <v>0</v>
      </c>
      <c r="AB18" s="24">
        <f t="shared" ref="AB18" si="52">+SUM(AC18:AG18)</f>
        <v>0</v>
      </c>
      <c r="AC18" s="24">
        <v>0</v>
      </c>
      <c r="AD18" s="50">
        <v>0</v>
      </c>
      <c r="AE18" s="24">
        <v>0</v>
      </c>
      <c r="AF18" s="24">
        <v>0</v>
      </c>
      <c r="AG18" s="24">
        <v>0</v>
      </c>
      <c r="AH18" s="22">
        <f t="shared" ref="AH18" si="53">+SUM(AI18:AM18)</f>
        <v>2983898.74</v>
      </c>
      <c r="AI18" s="22">
        <f t="shared" si="4"/>
        <v>0</v>
      </c>
      <c r="AJ18" s="37">
        <f t="shared" si="5"/>
        <v>1491949.37</v>
      </c>
      <c r="AK18" s="22">
        <f t="shared" si="6"/>
        <v>1491949.37</v>
      </c>
      <c r="AL18" s="22">
        <f t="shared" si="7"/>
        <v>0</v>
      </c>
      <c r="AM18" s="22">
        <f t="shared" si="8"/>
        <v>0</v>
      </c>
      <c r="AN18" s="53">
        <f>447176</f>
        <v>447176</v>
      </c>
      <c r="AO18" s="13">
        <f t="shared" ref="AO18" si="54">+IF(AJ18=0,"N/A",(AN18)/AJ18)</f>
        <v>0.29972598869088968</v>
      </c>
      <c r="AP18" s="17">
        <f t="shared" ref="AP18" si="55">+AJ18-AN18</f>
        <v>1044773.3700000001</v>
      </c>
      <c r="AQ18" s="33"/>
      <c r="AR18" s="128"/>
      <c r="AS18" s="128"/>
      <c r="AT18" s="128"/>
    </row>
    <row r="19" spans="1:46" s="2" customFormat="1" ht="38.25">
      <c r="A19" s="45" t="s">
        <v>109</v>
      </c>
      <c r="B19" s="38" t="s">
        <v>110</v>
      </c>
      <c r="C19" s="38" t="str">
        <f t="shared" si="0"/>
        <v>TANLAJAS</v>
      </c>
      <c r="D19" s="14" t="s">
        <v>111</v>
      </c>
      <c r="E19" s="36" t="s">
        <v>112</v>
      </c>
      <c r="F19" s="46" t="s">
        <v>51</v>
      </c>
      <c r="G19" s="14"/>
      <c r="H19" s="48" t="s">
        <v>46</v>
      </c>
      <c r="I19" s="48">
        <v>1</v>
      </c>
      <c r="J19" s="48">
        <v>1055</v>
      </c>
      <c r="K19" s="48">
        <v>243</v>
      </c>
      <c r="L19" s="16" t="s">
        <v>85</v>
      </c>
      <c r="M19" s="11" t="s">
        <v>53</v>
      </c>
      <c r="N19" s="14" t="s">
        <v>113</v>
      </c>
      <c r="O19" s="47">
        <v>42569</v>
      </c>
      <c r="P19" s="15"/>
      <c r="Q19" s="16"/>
      <c r="R19" s="14" t="s">
        <v>55</v>
      </c>
      <c r="S19" s="29">
        <v>42381</v>
      </c>
      <c r="T19" s="12" t="s">
        <v>43</v>
      </c>
      <c r="U19" s="10" t="s">
        <v>56</v>
      </c>
      <c r="V19" s="24">
        <f t="shared" ref="V19" si="56">+SUM(W19:AA19)</f>
        <v>6807623.6200000001</v>
      </c>
      <c r="W19" s="24">
        <v>0</v>
      </c>
      <c r="X19" s="50">
        <v>3295237</v>
      </c>
      <c r="Y19" s="24">
        <v>3512386.62</v>
      </c>
      <c r="Z19" s="24">
        <v>0</v>
      </c>
      <c r="AA19" s="24">
        <v>0</v>
      </c>
      <c r="AB19" s="24">
        <f t="shared" ref="AB19" si="57">+SUM(AC19:AG19)</f>
        <v>0</v>
      </c>
      <c r="AC19" s="24">
        <v>0</v>
      </c>
      <c r="AD19" s="50">
        <v>0</v>
      </c>
      <c r="AE19" s="24">
        <v>0</v>
      </c>
      <c r="AF19" s="24">
        <v>0</v>
      </c>
      <c r="AG19" s="24">
        <v>0</v>
      </c>
      <c r="AH19" s="22">
        <f t="shared" ref="AH19" si="58">+SUM(AI19:AM19)</f>
        <v>6807623.6200000001</v>
      </c>
      <c r="AI19" s="22">
        <f t="shared" si="4"/>
        <v>0</v>
      </c>
      <c r="AJ19" s="37">
        <f t="shared" si="5"/>
        <v>3295237</v>
      </c>
      <c r="AK19" s="22">
        <f t="shared" si="6"/>
        <v>3512386.62</v>
      </c>
      <c r="AL19" s="22">
        <f t="shared" si="7"/>
        <v>0</v>
      </c>
      <c r="AM19" s="22">
        <f t="shared" si="8"/>
        <v>0</v>
      </c>
      <c r="AN19" s="53">
        <f>2306308.61+988571.1</f>
        <v>3294879.71</v>
      </c>
      <c r="AO19" s="13">
        <f t="shared" ref="AO19" si="59">+IF(AJ19=0,"N/A",(AN19)/AJ19)</f>
        <v>0.99989157380789306</v>
      </c>
      <c r="AP19" s="17">
        <f t="shared" ref="AP19" si="60">+AJ19-AN19</f>
        <v>357.29000000003725</v>
      </c>
      <c r="AQ19" s="33"/>
      <c r="AR19" s="128"/>
      <c r="AS19" s="128"/>
      <c r="AT19" s="128"/>
    </row>
    <row r="20" spans="1:46" s="2" customFormat="1" ht="25.5">
      <c r="A20" s="45" t="s">
        <v>114</v>
      </c>
      <c r="B20" s="38" t="s">
        <v>115</v>
      </c>
      <c r="C20" s="38" t="str">
        <f t="shared" si="0"/>
        <v>XILITLA</v>
      </c>
      <c r="D20" s="14" t="s">
        <v>116</v>
      </c>
      <c r="E20" s="36" t="s">
        <v>117</v>
      </c>
      <c r="F20" s="46" t="s">
        <v>51</v>
      </c>
      <c r="G20" s="14"/>
      <c r="H20" s="48" t="s">
        <v>46</v>
      </c>
      <c r="I20" s="48">
        <v>1</v>
      </c>
      <c r="J20" s="48">
        <v>278</v>
      </c>
      <c r="K20" s="48">
        <v>69</v>
      </c>
      <c r="L20" s="16" t="s">
        <v>118</v>
      </c>
      <c r="M20" s="11" t="s">
        <v>53</v>
      </c>
      <c r="N20" s="14" t="s">
        <v>119</v>
      </c>
      <c r="O20" s="47">
        <v>42569</v>
      </c>
      <c r="P20" s="15"/>
      <c r="Q20" s="16"/>
      <c r="R20" s="14" t="s">
        <v>55</v>
      </c>
      <c r="S20" s="29">
        <v>42381</v>
      </c>
      <c r="T20" s="12" t="s">
        <v>43</v>
      </c>
      <c r="U20" s="10" t="s">
        <v>56</v>
      </c>
      <c r="V20" s="24">
        <f t="shared" ref="V20:V38" si="61">+SUM(W20:AA20)</f>
        <v>3356624.64</v>
      </c>
      <c r="W20" s="24">
        <v>0</v>
      </c>
      <c r="X20" s="50">
        <v>1678312.32</v>
      </c>
      <c r="Y20" s="24">
        <v>1678312.32</v>
      </c>
      <c r="Z20" s="24">
        <v>0</v>
      </c>
      <c r="AA20" s="24">
        <v>0</v>
      </c>
      <c r="AB20" s="24">
        <f t="shared" ref="AB20:AB38" si="62">+SUM(AC20:AG20)</f>
        <v>0</v>
      </c>
      <c r="AC20" s="24">
        <v>0</v>
      </c>
      <c r="AD20" s="50">
        <v>0</v>
      </c>
      <c r="AE20" s="24">
        <v>0</v>
      </c>
      <c r="AF20" s="24">
        <v>0</v>
      </c>
      <c r="AG20" s="24">
        <v>0</v>
      </c>
      <c r="AH20" s="22">
        <f t="shared" ref="AH20:AH38" si="63">+SUM(AI20:AM20)</f>
        <v>3356624.64</v>
      </c>
      <c r="AI20" s="22">
        <f t="shared" si="4"/>
        <v>0</v>
      </c>
      <c r="AJ20" s="37">
        <f t="shared" si="5"/>
        <v>1678312.32</v>
      </c>
      <c r="AK20" s="22">
        <f t="shared" si="6"/>
        <v>1678312.32</v>
      </c>
      <c r="AL20" s="22">
        <f t="shared" si="7"/>
        <v>0</v>
      </c>
      <c r="AM20" s="22">
        <f t="shared" si="8"/>
        <v>0</v>
      </c>
      <c r="AN20" s="53">
        <f>503494</f>
        <v>503494</v>
      </c>
      <c r="AO20" s="13">
        <f t="shared" ref="AO20:AO38" si="64">+IF(AJ20=0,"N/A",(AN20)/AJ20)</f>
        <v>0.30000018113434335</v>
      </c>
      <c r="AP20" s="17">
        <f t="shared" ref="AP20:AP38" si="65">+AJ20-AN20</f>
        <v>1174818.32</v>
      </c>
      <c r="AQ20" s="33"/>
      <c r="AR20" s="128"/>
      <c r="AS20" s="128"/>
      <c r="AT20" s="128"/>
    </row>
    <row r="21" spans="1:46" s="2" customFormat="1" ht="38.25">
      <c r="A21" s="45" t="s">
        <v>120</v>
      </c>
      <c r="B21" s="38" t="s">
        <v>121</v>
      </c>
      <c r="C21" s="38" t="str">
        <f t="shared" si="0"/>
        <v>COXCATLAN</v>
      </c>
      <c r="D21" s="14" t="s">
        <v>122</v>
      </c>
      <c r="E21" s="36" t="s">
        <v>123</v>
      </c>
      <c r="F21" s="46" t="s">
        <v>72</v>
      </c>
      <c r="G21" s="14"/>
      <c r="H21" s="48" t="s">
        <v>73</v>
      </c>
      <c r="I21" s="48">
        <v>2683.99</v>
      </c>
      <c r="J21" s="48">
        <v>123</v>
      </c>
      <c r="K21" s="48">
        <v>32</v>
      </c>
      <c r="L21" s="16" t="s">
        <v>124</v>
      </c>
      <c r="M21" s="11" t="s">
        <v>53</v>
      </c>
      <c r="N21" s="14" t="s">
        <v>125</v>
      </c>
      <c r="O21" s="47">
        <v>42576</v>
      </c>
      <c r="P21" s="15"/>
      <c r="Q21" s="16"/>
      <c r="R21" s="14" t="s">
        <v>55</v>
      </c>
      <c r="S21" s="29">
        <v>42381</v>
      </c>
      <c r="T21" s="12" t="s">
        <v>43</v>
      </c>
      <c r="U21" s="10" t="s">
        <v>56</v>
      </c>
      <c r="V21" s="24">
        <f t="shared" si="61"/>
        <v>3815978.36</v>
      </c>
      <c r="W21" s="24">
        <v>0</v>
      </c>
      <c r="X21" s="50">
        <v>1907989.18</v>
      </c>
      <c r="Y21" s="24">
        <v>1907989.18</v>
      </c>
      <c r="Z21" s="24">
        <v>0</v>
      </c>
      <c r="AA21" s="24">
        <v>0</v>
      </c>
      <c r="AB21" s="24">
        <f t="shared" si="62"/>
        <v>0</v>
      </c>
      <c r="AC21" s="24">
        <v>0</v>
      </c>
      <c r="AD21" s="50">
        <v>0</v>
      </c>
      <c r="AE21" s="24">
        <v>0</v>
      </c>
      <c r="AF21" s="24">
        <v>0</v>
      </c>
      <c r="AG21" s="24">
        <v>0</v>
      </c>
      <c r="AH21" s="22">
        <f t="shared" si="63"/>
        <v>3815978.36</v>
      </c>
      <c r="AI21" s="22">
        <f t="shared" si="4"/>
        <v>0</v>
      </c>
      <c r="AJ21" s="37">
        <f t="shared" si="5"/>
        <v>1907989.18</v>
      </c>
      <c r="AK21" s="22">
        <f t="shared" si="6"/>
        <v>1907989.18</v>
      </c>
      <c r="AL21" s="22">
        <f t="shared" si="7"/>
        <v>0</v>
      </c>
      <c r="AM21" s="22">
        <f t="shared" si="8"/>
        <v>0</v>
      </c>
      <c r="AN21" s="53">
        <v>0</v>
      </c>
      <c r="AO21" s="13">
        <f t="shared" si="64"/>
        <v>0</v>
      </c>
      <c r="AP21" s="17">
        <f t="shared" si="65"/>
        <v>1907989.18</v>
      </c>
      <c r="AQ21" s="33"/>
      <c r="AR21" s="128"/>
      <c r="AS21" s="128"/>
      <c r="AT21" s="128"/>
    </row>
    <row r="22" spans="1:46" s="2" customFormat="1" ht="38.25">
      <c r="A22" s="45" t="s">
        <v>126</v>
      </c>
      <c r="B22" s="38" t="s">
        <v>127</v>
      </c>
      <c r="C22" s="38" t="s">
        <v>128</v>
      </c>
      <c r="D22" s="14" t="s">
        <v>129</v>
      </c>
      <c r="E22" s="36" t="s">
        <v>130</v>
      </c>
      <c r="F22" s="46" t="s">
        <v>72</v>
      </c>
      <c r="G22" s="14"/>
      <c r="H22" s="48" t="s">
        <v>46</v>
      </c>
      <c r="I22" s="48">
        <v>1</v>
      </c>
      <c r="J22" s="48">
        <v>1424</v>
      </c>
      <c r="K22" s="48">
        <v>239</v>
      </c>
      <c r="L22" s="16" t="s">
        <v>131</v>
      </c>
      <c r="M22" s="11" t="s">
        <v>53</v>
      </c>
      <c r="N22" s="14" t="s">
        <v>132</v>
      </c>
      <c r="O22" s="47">
        <v>42576</v>
      </c>
      <c r="P22" s="15" t="s">
        <v>648</v>
      </c>
      <c r="Q22" s="16">
        <v>42601</v>
      </c>
      <c r="R22" s="14" t="s">
        <v>55</v>
      </c>
      <c r="S22" s="29">
        <v>42381</v>
      </c>
      <c r="T22" s="12" t="s">
        <v>43</v>
      </c>
      <c r="U22" s="10" t="s">
        <v>56</v>
      </c>
      <c r="V22" s="24">
        <f t="shared" si="61"/>
        <v>7758000</v>
      </c>
      <c r="W22" s="24">
        <v>4590000</v>
      </c>
      <c r="X22" s="50">
        <v>1584000</v>
      </c>
      <c r="Y22" s="24">
        <v>1584000</v>
      </c>
      <c r="Z22" s="24">
        <v>0</v>
      </c>
      <c r="AA22" s="24">
        <v>0</v>
      </c>
      <c r="AB22" s="24">
        <f t="shared" si="62"/>
        <v>-7758000</v>
      </c>
      <c r="AC22" s="24">
        <v>-4590000</v>
      </c>
      <c r="AD22" s="50">
        <v>-1584000</v>
      </c>
      <c r="AE22" s="24">
        <v>-1584000</v>
      </c>
      <c r="AF22" s="24">
        <v>0</v>
      </c>
      <c r="AG22" s="24">
        <v>0</v>
      </c>
      <c r="AH22" s="22">
        <f t="shared" si="63"/>
        <v>0</v>
      </c>
      <c r="AI22" s="22">
        <f t="shared" si="4"/>
        <v>0</v>
      </c>
      <c r="AJ22" s="37">
        <f t="shared" si="5"/>
        <v>0</v>
      </c>
      <c r="AK22" s="22">
        <f t="shared" si="6"/>
        <v>0</v>
      </c>
      <c r="AL22" s="22">
        <f t="shared" si="7"/>
        <v>0</v>
      </c>
      <c r="AM22" s="22">
        <f t="shared" si="8"/>
        <v>0</v>
      </c>
      <c r="AN22" s="53">
        <v>0</v>
      </c>
      <c r="AO22" s="13" t="str">
        <f t="shared" si="64"/>
        <v>N/A</v>
      </c>
      <c r="AP22" s="17">
        <f t="shared" si="65"/>
        <v>0</v>
      </c>
      <c r="AQ22" s="33"/>
      <c r="AR22" s="128"/>
      <c r="AS22" s="128"/>
      <c r="AT22" s="128"/>
    </row>
    <row r="23" spans="1:46" s="2" customFormat="1" ht="38.25">
      <c r="A23" s="45" t="s">
        <v>133</v>
      </c>
      <c r="B23" s="38" t="s">
        <v>127</v>
      </c>
      <c r="C23" s="38" t="s">
        <v>134</v>
      </c>
      <c r="D23" s="14" t="s">
        <v>44</v>
      </c>
      <c r="E23" s="36" t="s">
        <v>135</v>
      </c>
      <c r="F23" s="46" t="s">
        <v>51</v>
      </c>
      <c r="G23" s="14"/>
      <c r="H23" s="48" t="s">
        <v>46</v>
      </c>
      <c r="I23" s="48">
        <v>1</v>
      </c>
      <c r="J23" s="48">
        <v>1433</v>
      </c>
      <c r="K23" s="48">
        <v>401</v>
      </c>
      <c r="L23" s="16" t="s">
        <v>131</v>
      </c>
      <c r="M23" s="11" t="s">
        <v>53</v>
      </c>
      <c r="N23" s="14" t="s">
        <v>136</v>
      </c>
      <c r="O23" s="47">
        <v>42576</v>
      </c>
      <c r="P23" s="15"/>
      <c r="Q23" s="16"/>
      <c r="R23" s="14" t="s">
        <v>55</v>
      </c>
      <c r="S23" s="29">
        <v>42381</v>
      </c>
      <c r="T23" s="12" t="s">
        <v>43</v>
      </c>
      <c r="U23" s="10" t="s">
        <v>56</v>
      </c>
      <c r="V23" s="24">
        <f t="shared" si="61"/>
        <v>7150000</v>
      </c>
      <c r="W23" s="24">
        <v>5720000</v>
      </c>
      <c r="X23" s="50">
        <v>1430000</v>
      </c>
      <c r="Y23" s="24">
        <v>0</v>
      </c>
      <c r="Z23" s="24">
        <v>0</v>
      </c>
      <c r="AA23" s="24">
        <v>0</v>
      </c>
      <c r="AB23" s="24">
        <f t="shared" si="62"/>
        <v>0</v>
      </c>
      <c r="AC23" s="24">
        <v>0</v>
      </c>
      <c r="AD23" s="50">
        <v>0</v>
      </c>
      <c r="AE23" s="24">
        <v>0</v>
      </c>
      <c r="AF23" s="24">
        <v>0</v>
      </c>
      <c r="AG23" s="24">
        <v>0</v>
      </c>
      <c r="AH23" s="22">
        <f t="shared" si="63"/>
        <v>7150000</v>
      </c>
      <c r="AI23" s="22">
        <f t="shared" si="4"/>
        <v>5720000</v>
      </c>
      <c r="AJ23" s="37">
        <f t="shared" si="5"/>
        <v>1430000</v>
      </c>
      <c r="AK23" s="22">
        <f t="shared" si="6"/>
        <v>0</v>
      </c>
      <c r="AL23" s="22">
        <f t="shared" si="7"/>
        <v>0</v>
      </c>
      <c r="AM23" s="22">
        <f t="shared" si="8"/>
        <v>0</v>
      </c>
      <c r="AN23" s="53">
        <f>802114.12+429000</f>
        <v>1231114.1200000001</v>
      </c>
      <c r="AO23" s="13">
        <f t="shared" si="64"/>
        <v>0.86091896503496512</v>
      </c>
      <c r="AP23" s="17">
        <f t="shared" si="65"/>
        <v>198885.87999999989</v>
      </c>
      <c r="AQ23" s="33"/>
      <c r="AR23" s="128"/>
      <c r="AS23" s="128"/>
      <c r="AT23" s="128"/>
    </row>
    <row r="24" spans="1:46" s="2" customFormat="1" ht="51">
      <c r="A24" s="45" t="s">
        <v>137</v>
      </c>
      <c r="B24" s="38" t="s">
        <v>127</v>
      </c>
      <c r="C24" s="38" t="s">
        <v>138</v>
      </c>
      <c r="D24" s="14" t="s">
        <v>138</v>
      </c>
      <c r="E24" s="36" t="s">
        <v>139</v>
      </c>
      <c r="F24" s="46" t="s">
        <v>140</v>
      </c>
      <c r="G24" s="14"/>
      <c r="H24" s="48" t="s">
        <v>96</v>
      </c>
      <c r="I24" s="48">
        <v>1</v>
      </c>
      <c r="J24" s="48">
        <v>15469</v>
      </c>
      <c r="K24" s="48">
        <v>3958</v>
      </c>
      <c r="L24" s="16" t="s">
        <v>131</v>
      </c>
      <c r="M24" s="11" t="s">
        <v>53</v>
      </c>
      <c r="N24" s="14" t="s">
        <v>141</v>
      </c>
      <c r="O24" s="47">
        <v>42576</v>
      </c>
      <c r="P24" s="15" t="s">
        <v>646</v>
      </c>
      <c r="Q24" s="16">
        <v>42594</v>
      </c>
      <c r="R24" s="14" t="s">
        <v>55</v>
      </c>
      <c r="S24" s="29">
        <v>42381</v>
      </c>
      <c r="T24" s="12" t="s">
        <v>43</v>
      </c>
      <c r="U24" s="10" t="s">
        <v>56</v>
      </c>
      <c r="V24" s="24">
        <f t="shared" si="61"/>
        <v>8000000</v>
      </c>
      <c r="W24" s="24">
        <v>4800000</v>
      </c>
      <c r="X24" s="50">
        <v>2400000</v>
      </c>
      <c r="Y24" s="24">
        <v>800000</v>
      </c>
      <c r="Z24" s="24">
        <v>0</v>
      </c>
      <c r="AA24" s="24">
        <v>0</v>
      </c>
      <c r="AB24" s="24">
        <f t="shared" si="62"/>
        <v>-8000000</v>
      </c>
      <c r="AC24" s="24">
        <v>-4800000</v>
      </c>
      <c r="AD24" s="50">
        <v>-2400000</v>
      </c>
      <c r="AE24" s="24">
        <v>-800000</v>
      </c>
      <c r="AF24" s="24">
        <v>0</v>
      </c>
      <c r="AG24" s="24">
        <v>0</v>
      </c>
      <c r="AH24" s="22">
        <f t="shared" si="63"/>
        <v>0</v>
      </c>
      <c r="AI24" s="22">
        <f t="shared" si="4"/>
        <v>0</v>
      </c>
      <c r="AJ24" s="37">
        <f t="shared" si="5"/>
        <v>0</v>
      </c>
      <c r="AK24" s="22">
        <f t="shared" si="6"/>
        <v>0</v>
      </c>
      <c r="AL24" s="22">
        <f t="shared" si="7"/>
        <v>0</v>
      </c>
      <c r="AM24" s="22">
        <f t="shared" si="8"/>
        <v>0</v>
      </c>
      <c r="AN24" s="53">
        <v>0</v>
      </c>
      <c r="AO24" s="13" t="str">
        <f t="shared" si="64"/>
        <v>N/A</v>
      </c>
      <c r="AP24" s="17">
        <f t="shared" si="65"/>
        <v>0</v>
      </c>
      <c r="AQ24" s="33"/>
      <c r="AR24" s="128"/>
      <c r="AS24" s="128"/>
      <c r="AT24" s="128"/>
    </row>
    <row r="25" spans="1:46" s="2" customFormat="1" ht="51">
      <c r="A25" s="45" t="s">
        <v>142</v>
      </c>
      <c r="B25" s="38" t="s">
        <v>138</v>
      </c>
      <c r="C25" s="38" t="s">
        <v>138</v>
      </c>
      <c r="D25" s="14" t="s">
        <v>138</v>
      </c>
      <c r="E25" s="36" t="s">
        <v>139</v>
      </c>
      <c r="F25" s="46" t="s">
        <v>140</v>
      </c>
      <c r="G25" s="14"/>
      <c r="H25" s="48" t="s">
        <v>96</v>
      </c>
      <c r="I25" s="48">
        <v>1</v>
      </c>
      <c r="J25" s="48">
        <v>15469</v>
      </c>
      <c r="K25" s="48">
        <v>3958</v>
      </c>
      <c r="L25" s="16" t="s">
        <v>131</v>
      </c>
      <c r="M25" s="11" t="s">
        <v>53</v>
      </c>
      <c r="N25" s="14" t="s">
        <v>143</v>
      </c>
      <c r="O25" s="47">
        <v>42594</v>
      </c>
      <c r="P25" s="15"/>
      <c r="Q25" s="16"/>
      <c r="R25" s="14" t="s">
        <v>55</v>
      </c>
      <c r="S25" s="29">
        <v>42381</v>
      </c>
      <c r="T25" s="12" t="s">
        <v>43</v>
      </c>
      <c r="U25" s="10" t="s">
        <v>56</v>
      </c>
      <c r="V25" s="24">
        <f t="shared" si="61"/>
        <v>8000000</v>
      </c>
      <c r="W25" s="24">
        <v>4800000</v>
      </c>
      <c r="X25" s="50">
        <v>2400000</v>
      </c>
      <c r="Y25" s="24">
        <v>800000</v>
      </c>
      <c r="Z25" s="24">
        <v>0</v>
      </c>
      <c r="AA25" s="24">
        <v>0</v>
      </c>
      <c r="AB25" s="24">
        <f t="shared" si="62"/>
        <v>0</v>
      </c>
      <c r="AC25" s="24">
        <v>0</v>
      </c>
      <c r="AD25" s="50">
        <v>0</v>
      </c>
      <c r="AE25" s="24">
        <v>0</v>
      </c>
      <c r="AF25" s="24">
        <v>0</v>
      </c>
      <c r="AG25" s="24">
        <v>0</v>
      </c>
      <c r="AH25" s="22">
        <f t="shared" si="63"/>
        <v>8000000</v>
      </c>
      <c r="AI25" s="22">
        <f t="shared" si="4"/>
        <v>4800000</v>
      </c>
      <c r="AJ25" s="37">
        <f t="shared" si="5"/>
        <v>2400000</v>
      </c>
      <c r="AK25" s="22">
        <f t="shared" si="6"/>
        <v>800000</v>
      </c>
      <c r="AL25" s="22">
        <f t="shared" si="7"/>
        <v>0</v>
      </c>
      <c r="AM25" s="22">
        <f t="shared" si="8"/>
        <v>0</v>
      </c>
      <c r="AN25" s="53">
        <f>1677463.42+720000</f>
        <v>2397463.42</v>
      </c>
      <c r="AO25" s="13">
        <f t="shared" si="64"/>
        <v>0.99894309166666662</v>
      </c>
      <c r="AP25" s="17">
        <f t="shared" si="65"/>
        <v>2536.5800000000745</v>
      </c>
      <c r="AQ25" s="33"/>
      <c r="AR25" s="128"/>
      <c r="AS25" s="128"/>
      <c r="AT25" s="128"/>
    </row>
    <row r="26" spans="1:46" s="2" customFormat="1" ht="38.25">
      <c r="A26" s="45" t="s">
        <v>144</v>
      </c>
      <c r="B26" s="38" t="s">
        <v>48</v>
      </c>
      <c r="C26" s="38" t="s">
        <v>48</v>
      </c>
      <c r="D26" s="14" t="s">
        <v>145</v>
      </c>
      <c r="E26" s="36" t="s">
        <v>146</v>
      </c>
      <c r="F26" s="46" t="s">
        <v>147</v>
      </c>
      <c r="G26" s="14"/>
      <c r="H26" s="48" t="s">
        <v>148</v>
      </c>
      <c r="I26" s="48">
        <v>450</v>
      </c>
      <c r="J26" s="48">
        <v>755</v>
      </c>
      <c r="K26" s="48">
        <v>163</v>
      </c>
      <c r="L26" s="16" t="s">
        <v>149</v>
      </c>
      <c r="M26" s="11" t="s">
        <v>53</v>
      </c>
      <c r="N26" s="14" t="s">
        <v>150</v>
      </c>
      <c r="O26" s="47">
        <v>42597</v>
      </c>
      <c r="P26" s="15"/>
      <c r="Q26" s="16"/>
      <c r="R26" s="14" t="s">
        <v>55</v>
      </c>
      <c r="S26" s="29">
        <v>42381</v>
      </c>
      <c r="T26" s="12" t="s">
        <v>43</v>
      </c>
      <c r="U26" s="10" t="s">
        <v>56</v>
      </c>
      <c r="V26" s="24">
        <f t="shared" si="61"/>
        <v>302739.7</v>
      </c>
      <c r="W26" s="24">
        <v>0</v>
      </c>
      <c r="X26" s="50">
        <v>302739.7</v>
      </c>
      <c r="Y26" s="24">
        <v>0</v>
      </c>
      <c r="Z26" s="24">
        <v>0</v>
      </c>
      <c r="AA26" s="24">
        <v>0</v>
      </c>
      <c r="AB26" s="24">
        <f t="shared" si="62"/>
        <v>0</v>
      </c>
      <c r="AC26" s="24">
        <v>0</v>
      </c>
      <c r="AD26" s="50">
        <v>0</v>
      </c>
      <c r="AE26" s="24">
        <v>0</v>
      </c>
      <c r="AF26" s="24">
        <v>0</v>
      </c>
      <c r="AG26" s="24">
        <v>0</v>
      </c>
      <c r="AH26" s="22">
        <f t="shared" si="63"/>
        <v>302739.7</v>
      </c>
      <c r="AI26" s="22">
        <f t="shared" si="4"/>
        <v>0</v>
      </c>
      <c r="AJ26" s="37">
        <f t="shared" si="5"/>
        <v>302739.7</v>
      </c>
      <c r="AK26" s="22">
        <f t="shared" si="6"/>
        <v>0</v>
      </c>
      <c r="AL26" s="22">
        <f t="shared" si="7"/>
        <v>0</v>
      </c>
      <c r="AM26" s="22">
        <f t="shared" si="8"/>
        <v>0</v>
      </c>
      <c r="AN26" s="53">
        <f>90821.9</f>
        <v>90821.9</v>
      </c>
      <c r="AO26" s="13">
        <f t="shared" si="64"/>
        <v>0.29999996696832293</v>
      </c>
      <c r="AP26" s="17">
        <f t="shared" si="65"/>
        <v>211917.80000000002</v>
      </c>
      <c r="AQ26" s="33"/>
      <c r="AR26" s="128"/>
      <c r="AS26" s="128"/>
      <c r="AT26" s="128"/>
    </row>
    <row r="27" spans="1:46" s="2" customFormat="1" ht="38.25">
      <c r="A27" s="45" t="s">
        <v>151</v>
      </c>
      <c r="B27" s="38" t="s">
        <v>48</v>
      </c>
      <c r="C27" s="38" t="s">
        <v>48</v>
      </c>
      <c r="D27" s="14" t="s">
        <v>152</v>
      </c>
      <c r="E27" s="36" t="s">
        <v>153</v>
      </c>
      <c r="F27" s="46" t="s">
        <v>147</v>
      </c>
      <c r="G27" s="14"/>
      <c r="H27" s="48" t="s">
        <v>148</v>
      </c>
      <c r="I27" s="48">
        <v>890</v>
      </c>
      <c r="J27" s="48">
        <v>1060</v>
      </c>
      <c r="K27" s="48">
        <v>202</v>
      </c>
      <c r="L27" s="16" t="s">
        <v>149</v>
      </c>
      <c r="M27" s="11" t="s">
        <v>53</v>
      </c>
      <c r="N27" s="14" t="s">
        <v>154</v>
      </c>
      <c r="O27" s="47">
        <v>42597</v>
      </c>
      <c r="P27" s="15"/>
      <c r="Q27" s="16"/>
      <c r="R27" s="14" t="s">
        <v>55</v>
      </c>
      <c r="S27" s="29">
        <v>42381</v>
      </c>
      <c r="T27" s="12" t="s">
        <v>43</v>
      </c>
      <c r="U27" s="10" t="s">
        <v>56</v>
      </c>
      <c r="V27" s="24">
        <f t="shared" si="61"/>
        <v>592885.34</v>
      </c>
      <c r="W27" s="24">
        <v>0</v>
      </c>
      <c r="X27" s="50">
        <v>592885.34</v>
      </c>
      <c r="Y27" s="24">
        <v>0</v>
      </c>
      <c r="Z27" s="24">
        <v>0</v>
      </c>
      <c r="AA27" s="24">
        <v>0</v>
      </c>
      <c r="AB27" s="24">
        <f t="shared" si="62"/>
        <v>0</v>
      </c>
      <c r="AC27" s="24">
        <v>0</v>
      </c>
      <c r="AD27" s="50">
        <v>0</v>
      </c>
      <c r="AE27" s="24">
        <v>0</v>
      </c>
      <c r="AF27" s="24">
        <v>0</v>
      </c>
      <c r="AG27" s="24">
        <v>0</v>
      </c>
      <c r="AH27" s="22">
        <f t="shared" si="63"/>
        <v>592885.34</v>
      </c>
      <c r="AI27" s="22">
        <f t="shared" si="4"/>
        <v>0</v>
      </c>
      <c r="AJ27" s="37">
        <f t="shared" si="5"/>
        <v>592885.34</v>
      </c>
      <c r="AK27" s="22">
        <f t="shared" si="6"/>
        <v>0</v>
      </c>
      <c r="AL27" s="22">
        <f t="shared" si="7"/>
        <v>0</v>
      </c>
      <c r="AM27" s="22">
        <f t="shared" si="8"/>
        <v>0</v>
      </c>
      <c r="AN27" s="53">
        <v>0</v>
      </c>
      <c r="AO27" s="13">
        <f t="shared" si="64"/>
        <v>0</v>
      </c>
      <c r="AP27" s="17">
        <f t="shared" si="65"/>
        <v>592885.34</v>
      </c>
      <c r="AQ27" s="33"/>
      <c r="AR27" s="128"/>
      <c r="AS27" s="128"/>
      <c r="AT27" s="128"/>
    </row>
    <row r="28" spans="1:46" s="2" customFormat="1" ht="38.25">
      <c r="A28" s="45" t="s">
        <v>155</v>
      </c>
      <c r="B28" s="38" t="s">
        <v>48</v>
      </c>
      <c r="C28" s="38" t="s">
        <v>48</v>
      </c>
      <c r="D28" s="14" t="s">
        <v>156</v>
      </c>
      <c r="E28" s="36" t="s">
        <v>157</v>
      </c>
      <c r="F28" s="46" t="s">
        <v>147</v>
      </c>
      <c r="G28" s="14"/>
      <c r="H28" s="48" t="s">
        <v>148</v>
      </c>
      <c r="I28" s="48">
        <v>450</v>
      </c>
      <c r="J28" s="48">
        <v>387</v>
      </c>
      <c r="K28" s="48">
        <v>90</v>
      </c>
      <c r="L28" s="16" t="s">
        <v>149</v>
      </c>
      <c r="M28" s="11" t="s">
        <v>53</v>
      </c>
      <c r="N28" s="14" t="s">
        <v>158</v>
      </c>
      <c r="O28" s="47">
        <v>42597</v>
      </c>
      <c r="P28" s="15"/>
      <c r="Q28" s="16"/>
      <c r="R28" s="14" t="s">
        <v>55</v>
      </c>
      <c r="S28" s="29">
        <v>42381</v>
      </c>
      <c r="T28" s="12" t="s">
        <v>43</v>
      </c>
      <c r="U28" s="10" t="s">
        <v>56</v>
      </c>
      <c r="V28" s="24">
        <f t="shared" si="61"/>
        <v>302739.7</v>
      </c>
      <c r="W28" s="24">
        <v>0</v>
      </c>
      <c r="X28" s="50">
        <v>302739.7</v>
      </c>
      <c r="Y28" s="24">
        <v>0</v>
      </c>
      <c r="Z28" s="24">
        <v>0</v>
      </c>
      <c r="AA28" s="24">
        <v>0</v>
      </c>
      <c r="AB28" s="24">
        <f t="shared" si="62"/>
        <v>0</v>
      </c>
      <c r="AC28" s="24">
        <v>0</v>
      </c>
      <c r="AD28" s="50">
        <v>0</v>
      </c>
      <c r="AE28" s="24">
        <v>0</v>
      </c>
      <c r="AF28" s="24">
        <v>0</v>
      </c>
      <c r="AG28" s="24">
        <v>0</v>
      </c>
      <c r="AH28" s="22">
        <f t="shared" si="63"/>
        <v>302739.7</v>
      </c>
      <c r="AI28" s="22">
        <f t="shared" si="4"/>
        <v>0</v>
      </c>
      <c r="AJ28" s="37">
        <f t="shared" si="5"/>
        <v>302739.7</v>
      </c>
      <c r="AK28" s="22">
        <f t="shared" si="6"/>
        <v>0</v>
      </c>
      <c r="AL28" s="22">
        <f t="shared" si="7"/>
        <v>0</v>
      </c>
      <c r="AM28" s="22">
        <f t="shared" si="8"/>
        <v>0</v>
      </c>
      <c r="AN28" s="53">
        <f>90821.9</f>
        <v>90821.9</v>
      </c>
      <c r="AO28" s="13">
        <f t="shared" si="64"/>
        <v>0.29999996696832293</v>
      </c>
      <c r="AP28" s="17">
        <f t="shared" si="65"/>
        <v>211917.80000000002</v>
      </c>
      <c r="AQ28" s="33"/>
      <c r="AR28" s="128"/>
      <c r="AS28" s="128"/>
      <c r="AT28" s="128"/>
    </row>
    <row r="29" spans="1:46" s="2" customFormat="1" ht="25.5">
      <c r="A29" s="45" t="s">
        <v>159</v>
      </c>
      <c r="B29" s="38" t="s">
        <v>128</v>
      </c>
      <c r="C29" s="38" t="s">
        <v>128</v>
      </c>
      <c r="D29" s="14" t="s">
        <v>160</v>
      </c>
      <c r="E29" s="36" t="s">
        <v>161</v>
      </c>
      <c r="F29" s="46" t="s">
        <v>162</v>
      </c>
      <c r="G29" s="14"/>
      <c r="H29" s="48" t="s">
        <v>163</v>
      </c>
      <c r="I29" s="48">
        <v>2</v>
      </c>
      <c r="J29" s="48">
        <v>8</v>
      </c>
      <c r="K29" s="48">
        <v>2</v>
      </c>
      <c r="L29" s="16" t="s">
        <v>164</v>
      </c>
      <c r="M29" s="11" t="s">
        <v>53</v>
      </c>
      <c r="N29" s="14" t="s">
        <v>165</v>
      </c>
      <c r="O29" s="47">
        <v>42597</v>
      </c>
      <c r="P29" s="15"/>
      <c r="Q29" s="16"/>
      <c r="R29" s="14" t="s">
        <v>55</v>
      </c>
      <c r="S29" s="29">
        <v>42381</v>
      </c>
      <c r="T29" s="12" t="s">
        <v>43</v>
      </c>
      <c r="U29" s="10" t="s">
        <v>56</v>
      </c>
      <c r="V29" s="24">
        <f t="shared" si="61"/>
        <v>64756.800000000003</v>
      </c>
      <c r="W29" s="24">
        <v>0</v>
      </c>
      <c r="X29" s="50">
        <v>32378.400000000001</v>
      </c>
      <c r="Y29" s="24">
        <v>32378.400000000001</v>
      </c>
      <c r="Z29" s="24">
        <v>0</v>
      </c>
      <c r="AA29" s="24">
        <v>0</v>
      </c>
      <c r="AB29" s="24">
        <f t="shared" si="62"/>
        <v>0</v>
      </c>
      <c r="AC29" s="24">
        <v>0</v>
      </c>
      <c r="AD29" s="50">
        <v>0</v>
      </c>
      <c r="AE29" s="24">
        <v>0</v>
      </c>
      <c r="AF29" s="24">
        <v>0</v>
      </c>
      <c r="AG29" s="24">
        <v>0</v>
      </c>
      <c r="AH29" s="22">
        <f t="shared" si="63"/>
        <v>64756.800000000003</v>
      </c>
      <c r="AI29" s="22">
        <f t="shared" si="4"/>
        <v>0</v>
      </c>
      <c r="AJ29" s="37">
        <f t="shared" si="5"/>
        <v>32378.400000000001</v>
      </c>
      <c r="AK29" s="22">
        <f t="shared" si="6"/>
        <v>32378.400000000001</v>
      </c>
      <c r="AL29" s="22">
        <f t="shared" si="7"/>
        <v>0</v>
      </c>
      <c r="AM29" s="22">
        <f t="shared" si="8"/>
        <v>0</v>
      </c>
      <c r="AN29" s="53">
        <v>0</v>
      </c>
      <c r="AO29" s="13">
        <f t="shared" si="64"/>
        <v>0</v>
      </c>
      <c r="AP29" s="17">
        <f t="shared" si="65"/>
        <v>32378.400000000001</v>
      </c>
      <c r="AQ29" s="33"/>
      <c r="AR29" s="128"/>
      <c r="AS29" s="128"/>
      <c r="AT29" s="128"/>
    </row>
    <row r="30" spans="1:46" s="2" customFormat="1" ht="25.5">
      <c r="A30" s="45" t="s">
        <v>166</v>
      </c>
      <c r="B30" s="38" t="s">
        <v>128</v>
      </c>
      <c r="C30" s="38" t="s">
        <v>128</v>
      </c>
      <c r="D30" s="14" t="s">
        <v>167</v>
      </c>
      <c r="E30" s="36" t="s">
        <v>168</v>
      </c>
      <c r="F30" s="46" t="s">
        <v>162</v>
      </c>
      <c r="G30" s="14"/>
      <c r="H30" s="48" t="s">
        <v>163</v>
      </c>
      <c r="I30" s="48">
        <v>4</v>
      </c>
      <c r="J30" s="48">
        <v>15</v>
      </c>
      <c r="K30" s="48">
        <v>4</v>
      </c>
      <c r="L30" s="16" t="s">
        <v>164</v>
      </c>
      <c r="M30" s="11" t="s">
        <v>53</v>
      </c>
      <c r="N30" s="14" t="s">
        <v>165</v>
      </c>
      <c r="O30" s="47">
        <v>42597</v>
      </c>
      <c r="P30" s="15"/>
      <c r="Q30" s="16"/>
      <c r="R30" s="14" t="s">
        <v>55</v>
      </c>
      <c r="S30" s="29">
        <v>42381</v>
      </c>
      <c r="T30" s="12" t="s">
        <v>43</v>
      </c>
      <c r="U30" s="10" t="s">
        <v>56</v>
      </c>
      <c r="V30" s="24">
        <f t="shared" si="61"/>
        <v>129513.60000000001</v>
      </c>
      <c r="W30" s="24">
        <v>0</v>
      </c>
      <c r="X30" s="50">
        <v>64756.800000000003</v>
      </c>
      <c r="Y30" s="24">
        <v>64756.800000000003</v>
      </c>
      <c r="Z30" s="24">
        <v>0</v>
      </c>
      <c r="AA30" s="24">
        <v>0</v>
      </c>
      <c r="AB30" s="24">
        <f t="shared" si="62"/>
        <v>0</v>
      </c>
      <c r="AC30" s="24">
        <v>0</v>
      </c>
      <c r="AD30" s="50">
        <v>0</v>
      </c>
      <c r="AE30" s="24">
        <v>0</v>
      </c>
      <c r="AF30" s="24">
        <v>0</v>
      </c>
      <c r="AG30" s="24">
        <v>0</v>
      </c>
      <c r="AH30" s="22">
        <f t="shared" si="63"/>
        <v>129513.60000000001</v>
      </c>
      <c r="AI30" s="22">
        <f t="shared" si="4"/>
        <v>0</v>
      </c>
      <c r="AJ30" s="37">
        <f t="shared" si="5"/>
        <v>64756.800000000003</v>
      </c>
      <c r="AK30" s="22">
        <f t="shared" si="6"/>
        <v>64756.800000000003</v>
      </c>
      <c r="AL30" s="22">
        <f t="shared" si="7"/>
        <v>0</v>
      </c>
      <c r="AM30" s="22">
        <f t="shared" si="8"/>
        <v>0</v>
      </c>
      <c r="AN30" s="53">
        <v>0</v>
      </c>
      <c r="AO30" s="13">
        <f t="shared" si="64"/>
        <v>0</v>
      </c>
      <c r="AP30" s="17">
        <f t="shared" si="65"/>
        <v>64756.800000000003</v>
      </c>
      <c r="AQ30" s="33"/>
      <c r="AR30" s="128"/>
      <c r="AS30" s="128"/>
      <c r="AT30" s="128"/>
    </row>
    <row r="31" spans="1:46" s="2" customFormat="1" ht="25.5">
      <c r="A31" s="45" t="s">
        <v>169</v>
      </c>
      <c r="B31" s="38" t="s">
        <v>128</v>
      </c>
      <c r="C31" s="38" t="s">
        <v>128</v>
      </c>
      <c r="D31" s="14" t="s">
        <v>170</v>
      </c>
      <c r="E31" s="36" t="s">
        <v>171</v>
      </c>
      <c r="F31" s="46" t="s">
        <v>162</v>
      </c>
      <c r="G31" s="14"/>
      <c r="H31" s="48" t="s">
        <v>163</v>
      </c>
      <c r="I31" s="48">
        <v>9</v>
      </c>
      <c r="J31" s="48">
        <v>34</v>
      </c>
      <c r="K31" s="48">
        <v>9</v>
      </c>
      <c r="L31" s="16" t="s">
        <v>164</v>
      </c>
      <c r="M31" s="11" t="s">
        <v>53</v>
      </c>
      <c r="N31" s="14" t="s">
        <v>165</v>
      </c>
      <c r="O31" s="47">
        <v>42597</v>
      </c>
      <c r="P31" s="15"/>
      <c r="Q31" s="16"/>
      <c r="R31" s="14" t="s">
        <v>55</v>
      </c>
      <c r="S31" s="29">
        <v>42381</v>
      </c>
      <c r="T31" s="12" t="s">
        <v>43</v>
      </c>
      <c r="U31" s="10" t="s">
        <v>56</v>
      </c>
      <c r="V31" s="24">
        <f t="shared" si="61"/>
        <v>291405.59999999998</v>
      </c>
      <c r="W31" s="24">
        <v>0</v>
      </c>
      <c r="X31" s="50">
        <v>145702.79999999999</v>
      </c>
      <c r="Y31" s="24">
        <v>145702.79999999999</v>
      </c>
      <c r="Z31" s="24">
        <v>0</v>
      </c>
      <c r="AA31" s="24">
        <v>0</v>
      </c>
      <c r="AB31" s="24">
        <f t="shared" si="62"/>
        <v>0</v>
      </c>
      <c r="AC31" s="24">
        <v>0</v>
      </c>
      <c r="AD31" s="50">
        <v>0</v>
      </c>
      <c r="AE31" s="24">
        <v>0</v>
      </c>
      <c r="AF31" s="24">
        <v>0</v>
      </c>
      <c r="AG31" s="24">
        <v>0</v>
      </c>
      <c r="AH31" s="22">
        <f t="shared" si="63"/>
        <v>291405.59999999998</v>
      </c>
      <c r="AI31" s="22">
        <f t="shared" si="4"/>
        <v>0</v>
      </c>
      <c r="AJ31" s="37">
        <f t="shared" si="5"/>
        <v>145702.79999999999</v>
      </c>
      <c r="AK31" s="22">
        <f t="shared" si="6"/>
        <v>145702.79999999999</v>
      </c>
      <c r="AL31" s="22">
        <f t="shared" si="7"/>
        <v>0</v>
      </c>
      <c r="AM31" s="22">
        <f t="shared" si="8"/>
        <v>0</v>
      </c>
      <c r="AN31" s="53">
        <v>0</v>
      </c>
      <c r="AO31" s="13">
        <f t="shared" si="64"/>
        <v>0</v>
      </c>
      <c r="AP31" s="17">
        <f t="shared" si="65"/>
        <v>145702.79999999999</v>
      </c>
      <c r="AQ31" s="33"/>
      <c r="AR31" s="128"/>
      <c r="AS31" s="128"/>
      <c r="AT31" s="128"/>
    </row>
    <row r="32" spans="1:46" s="2" customFormat="1" ht="25.5">
      <c r="A32" s="45" t="s">
        <v>172</v>
      </c>
      <c r="B32" s="38" t="s">
        <v>128</v>
      </c>
      <c r="C32" s="38" t="s">
        <v>128</v>
      </c>
      <c r="D32" s="14" t="s">
        <v>173</v>
      </c>
      <c r="E32" s="36" t="s">
        <v>174</v>
      </c>
      <c r="F32" s="46" t="s">
        <v>162</v>
      </c>
      <c r="G32" s="14"/>
      <c r="H32" s="48" t="s">
        <v>163</v>
      </c>
      <c r="I32" s="48">
        <v>2</v>
      </c>
      <c r="J32" s="48">
        <v>8</v>
      </c>
      <c r="K32" s="48">
        <v>2</v>
      </c>
      <c r="L32" s="16" t="s">
        <v>164</v>
      </c>
      <c r="M32" s="11" t="s">
        <v>53</v>
      </c>
      <c r="N32" s="14" t="s">
        <v>165</v>
      </c>
      <c r="O32" s="47">
        <v>42597</v>
      </c>
      <c r="P32" s="15"/>
      <c r="Q32" s="16"/>
      <c r="R32" s="14" t="s">
        <v>55</v>
      </c>
      <c r="S32" s="29">
        <v>42381</v>
      </c>
      <c r="T32" s="12" t="s">
        <v>43</v>
      </c>
      <c r="U32" s="10" t="s">
        <v>56</v>
      </c>
      <c r="V32" s="24">
        <f t="shared" si="61"/>
        <v>64756.800000000003</v>
      </c>
      <c r="W32" s="24">
        <v>0</v>
      </c>
      <c r="X32" s="50">
        <v>32378.400000000001</v>
      </c>
      <c r="Y32" s="24">
        <v>32378.400000000001</v>
      </c>
      <c r="Z32" s="24">
        <v>0</v>
      </c>
      <c r="AA32" s="24">
        <v>0</v>
      </c>
      <c r="AB32" s="24">
        <f t="shared" si="62"/>
        <v>0</v>
      </c>
      <c r="AC32" s="24">
        <v>0</v>
      </c>
      <c r="AD32" s="50">
        <v>0</v>
      </c>
      <c r="AE32" s="24">
        <v>0</v>
      </c>
      <c r="AF32" s="24">
        <v>0</v>
      </c>
      <c r="AG32" s="24">
        <v>0</v>
      </c>
      <c r="AH32" s="22">
        <f t="shared" si="63"/>
        <v>64756.800000000003</v>
      </c>
      <c r="AI32" s="22">
        <f t="shared" si="4"/>
        <v>0</v>
      </c>
      <c r="AJ32" s="37">
        <f t="shared" si="5"/>
        <v>32378.400000000001</v>
      </c>
      <c r="AK32" s="22">
        <f t="shared" si="6"/>
        <v>32378.400000000001</v>
      </c>
      <c r="AL32" s="22">
        <f t="shared" si="7"/>
        <v>0</v>
      </c>
      <c r="AM32" s="22">
        <f t="shared" si="8"/>
        <v>0</v>
      </c>
      <c r="AN32" s="53">
        <v>0</v>
      </c>
      <c r="AO32" s="13">
        <f t="shared" si="64"/>
        <v>0</v>
      </c>
      <c r="AP32" s="17">
        <f t="shared" si="65"/>
        <v>32378.400000000001</v>
      </c>
      <c r="AQ32" s="33"/>
      <c r="AR32" s="128"/>
      <c r="AS32" s="128"/>
      <c r="AT32" s="128"/>
    </row>
    <row r="33" spans="1:46" s="2" customFormat="1" ht="25.5">
      <c r="A33" s="45" t="s">
        <v>175</v>
      </c>
      <c r="B33" s="38" t="s">
        <v>128</v>
      </c>
      <c r="C33" s="38" t="s">
        <v>128</v>
      </c>
      <c r="D33" s="14" t="s">
        <v>176</v>
      </c>
      <c r="E33" s="36" t="s">
        <v>177</v>
      </c>
      <c r="F33" s="46" t="s">
        <v>162</v>
      </c>
      <c r="G33" s="14"/>
      <c r="H33" s="48" t="s">
        <v>163</v>
      </c>
      <c r="I33" s="48">
        <v>6</v>
      </c>
      <c r="J33" s="48">
        <v>23</v>
      </c>
      <c r="K33" s="48">
        <v>6</v>
      </c>
      <c r="L33" s="16" t="s">
        <v>164</v>
      </c>
      <c r="M33" s="11" t="s">
        <v>53</v>
      </c>
      <c r="N33" s="14" t="s">
        <v>165</v>
      </c>
      <c r="O33" s="47">
        <v>42597</v>
      </c>
      <c r="P33" s="15"/>
      <c r="Q33" s="16"/>
      <c r="R33" s="14" t="s">
        <v>55</v>
      </c>
      <c r="S33" s="29">
        <v>42381</v>
      </c>
      <c r="T33" s="12" t="s">
        <v>43</v>
      </c>
      <c r="U33" s="10" t="s">
        <v>56</v>
      </c>
      <c r="V33" s="24">
        <f t="shared" si="61"/>
        <v>194270.4</v>
      </c>
      <c r="W33" s="24">
        <v>0</v>
      </c>
      <c r="X33" s="50">
        <v>97135.2</v>
      </c>
      <c r="Y33" s="24">
        <v>97135.2</v>
      </c>
      <c r="Z33" s="24">
        <v>0</v>
      </c>
      <c r="AA33" s="24">
        <v>0</v>
      </c>
      <c r="AB33" s="24">
        <f t="shared" si="62"/>
        <v>0</v>
      </c>
      <c r="AC33" s="24">
        <v>0</v>
      </c>
      <c r="AD33" s="50">
        <v>0</v>
      </c>
      <c r="AE33" s="24">
        <v>0</v>
      </c>
      <c r="AF33" s="24">
        <v>0</v>
      </c>
      <c r="AG33" s="24">
        <v>0</v>
      </c>
      <c r="AH33" s="22">
        <f t="shared" si="63"/>
        <v>194270.4</v>
      </c>
      <c r="AI33" s="22">
        <f t="shared" si="4"/>
        <v>0</v>
      </c>
      <c r="AJ33" s="37">
        <f t="shared" si="5"/>
        <v>97135.2</v>
      </c>
      <c r="AK33" s="22">
        <f t="shared" si="6"/>
        <v>97135.2</v>
      </c>
      <c r="AL33" s="22">
        <f t="shared" si="7"/>
        <v>0</v>
      </c>
      <c r="AM33" s="22">
        <f t="shared" si="8"/>
        <v>0</v>
      </c>
      <c r="AN33" s="53">
        <v>0</v>
      </c>
      <c r="AO33" s="13">
        <f t="shared" si="64"/>
        <v>0</v>
      </c>
      <c r="AP33" s="17">
        <f t="shared" si="65"/>
        <v>97135.2</v>
      </c>
      <c r="AQ33" s="33"/>
      <c r="AR33" s="128"/>
      <c r="AS33" s="128"/>
      <c r="AT33" s="128"/>
    </row>
    <row r="34" spans="1:46" s="2" customFormat="1" ht="25.5">
      <c r="A34" s="45" t="s">
        <v>178</v>
      </c>
      <c r="B34" s="38" t="s">
        <v>128</v>
      </c>
      <c r="C34" s="38" t="s">
        <v>128</v>
      </c>
      <c r="D34" s="14" t="s">
        <v>179</v>
      </c>
      <c r="E34" s="36" t="s">
        <v>180</v>
      </c>
      <c r="F34" s="46" t="s">
        <v>162</v>
      </c>
      <c r="G34" s="14"/>
      <c r="H34" s="48" t="s">
        <v>163</v>
      </c>
      <c r="I34" s="48">
        <v>7</v>
      </c>
      <c r="J34" s="48">
        <v>27</v>
      </c>
      <c r="K34" s="48">
        <v>7</v>
      </c>
      <c r="L34" s="16" t="s">
        <v>164</v>
      </c>
      <c r="M34" s="11" t="s">
        <v>53</v>
      </c>
      <c r="N34" s="14" t="s">
        <v>165</v>
      </c>
      <c r="O34" s="47">
        <v>42597</v>
      </c>
      <c r="P34" s="15"/>
      <c r="Q34" s="16"/>
      <c r="R34" s="14" t="s">
        <v>55</v>
      </c>
      <c r="S34" s="29">
        <v>42381</v>
      </c>
      <c r="T34" s="12" t="s">
        <v>43</v>
      </c>
      <c r="U34" s="10" t="s">
        <v>56</v>
      </c>
      <c r="V34" s="24">
        <f t="shared" si="61"/>
        <v>226648.8</v>
      </c>
      <c r="W34" s="24">
        <v>0</v>
      </c>
      <c r="X34" s="50">
        <v>113324.4</v>
      </c>
      <c r="Y34" s="24">
        <v>113324.4</v>
      </c>
      <c r="Z34" s="24">
        <v>0</v>
      </c>
      <c r="AA34" s="24">
        <v>0</v>
      </c>
      <c r="AB34" s="24">
        <f t="shared" si="62"/>
        <v>0</v>
      </c>
      <c r="AC34" s="24">
        <v>0</v>
      </c>
      <c r="AD34" s="50">
        <v>0</v>
      </c>
      <c r="AE34" s="24">
        <v>0</v>
      </c>
      <c r="AF34" s="24">
        <v>0</v>
      </c>
      <c r="AG34" s="24">
        <v>0</v>
      </c>
      <c r="AH34" s="22">
        <f t="shared" si="63"/>
        <v>226648.8</v>
      </c>
      <c r="AI34" s="22">
        <f t="shared" si="4"/>
        <v>0</v>
      </c>
      <c r="AJ34" s="37">
        <f t="shared" si="5"/>
        <v>113324.4</v>
      </c>
      <c r="AK34" s="22">
        <f t="shared" si="6"/>
        <v>113324.4</v>
      </c>
      <c r="AL34" s="22">
        <f t="shared" si="7"/>
        <v>0</v>
      </c>
      <c r="AM34" s="22">
        <f t="shared" si="8"/>
        <v>0</v>
      </c>
      <c r="AN34" s="53">
        <v>0</v>
      </c>
      <c r="AO34" s="13">
        <f t="shared" si="64"/>
        <v>0</v>
      </c>
      <c r="AP34" s="17">
        <f t="shared" si="65"/>
        <v>113324.4</v>
      </c>
      <c r="AQ34" s="33"/>
      <c r="AR34" s="128"/>
      <c r="AS34" s="128"/>
      <c r="AT34" s="128"/>
    </row>
    <row r="35" spans="1:46" s="2" customFormat="1" ht="51">
      <c r="A35" s="45" t="s">
        <v>181</v>
      </c>
      <c r="B35" s="38" t="s">
        <v>182</v>
      </c>
      <c r="C35" s="38" t="s">
        <v>182</v>
      </c>
      <c r="D35" s="14" t="s">
        <v>182</v>
      </c>
      <c r="E35" s="36" t="s">
        <v>183</v>
      </c>
      <c r="F35" s="46" t="s">
        <v>147</v>
      </c>
      <c r="G35" s="14"/>
      <c r="H35" s="48" t="s">
        <v>148</v>
      </c>
      <c r="I35" s="48">
        <v>10900</v>
      </c>
      <c r="J35" s="48">
        <v>865</v>
      </c>
      <c r="K35" s="48">
        <v>226</v>
      </c>
      <c r="L35" s="16" t="s">
        <v>85</v>
      </c>
      <c r="M35" s="11" t="s">
        <v>80</v>
      </c>
      <c r="N35" s="14" t="s">
        <v>184</v>
      </c>
      <c r="O35" s="47">
        <v>42600</v>
      </c>
      <c r="P35" s="15"/>
      <c r="Q35" s="16"/>
      <c r="R35" s="14" t="s">
        <v>55</v>
      </c>
      <c r="S35" s="29">
        <v>42381</v>
      </c>
      <c r="T35" s="12" t="s">
        <v>43</v>
      </c>
      <c r="U35" s="10" t="s">
        <v>56</v>
      </c>
      <c r="V35" s="24">
        <f t="shared" si="61"/>
        <v>4118152.71</v>
      </c>
      <c r="W35" s="24">
        <v>0</v>
      </c>
      <c r="X35" s="50">
        <v>2000000.85</v>
      </c>
      <c r="Y35" s="24">
        <v>740138</v>
      </c>
      <c r="Z35" s="24">
        <v>0</v>
      </c>
      <c r="AA35" s="24">
        <v>1378013.86</v>
      </c>
      <c r="AB35" s="24">
        <f t="shared" si="62"/>
        <v>0</v>
      </c>
      <c r="AC35" s="24">
        <v>0</v>
      </c>
      <c r="AD35" s="50">
        <v>0</v>
      </c>
      <c r="AE35" s="24">
        <v>0</v>
      </c>
      <c r="AF35" s="24">
        <v>0</v>
      </c>
      <c r="AG35" s="24">
        <v>0</v>
      </c>
      <c r="AH35" s="22">
        <f t="shared" si="63"/>
        <v>4118152.71</v>
      </c>
      <c r="AI35" s="22">
        <f t="shared" si="4"/>
        <v>0</v>
      </c>
      <c r="AJ35" s="37">
        <f t="shared" si="5"/>
        <v>2000000.85</v>
      </c>
      <c r="AK35" s="22">
        <f t="shared" si="6"/>
        <v>740138</v>
      </c>
      <c r="AL35" s="22">
        <f t="shared" si="7"/>
        <v>0</v>
      </c>
      <c r="AM35" s="22">
        <f t="shared" si="8"/>
        <v>1378013.86</v>
      </c>
      <c r="AN35" s="53">
        <f>1000000</f>
        <v>1000000</v>
      </c>
      <c r="AO35" s="13">
        <f t="shared" si="64"/>
        <v>0.49999978750009028</v>
      </c>
      <c r="AP35" s="17">
        <f t="shared" si="65"/>
        <v>1000000.8500000001</v>
      </c>
      <c r="AQ35" s="33"/>
      <c r="AR35" s="128"/>
      <c r="AS35" s="128"/>
      <c r="AT35" s="128"/>
    </row>
    <row r="36" spans="1:46" s="2" customFormat="1" ht="25.5">
      <c r="A36" s="45" t="s">
        <v>185</v>
      </c>
      <c r="B36" s="38" t="s">
        <v>186</v>
      </c>
      <c r="C36" s="38" t="s">
        <v>186</v>
      </c>
      <c r="D36" s="14" t="s">
        <v>186</v>
      </c>
      <c r="E36" s="36" t="s">
        <v>187</v>
      </c>
      <c r="F36" s="46" t="s">
        <v>147</v>
      </c>
      <c r="G36" s="14"/>
      <c r="H36" s="48" t="s">
        <v>148</v>
      </c>
      <c r="I36" s="48">
        <v>1662.43</v>
      </c>
      <c r="J36" s="48">
        <v>64</v>
      </c>
      <c r="K36" s="48">
        <v>16</v>
      </c>
      <c r="L36" s="16" t="s">
        <v>164</v>
      </c>
      <c r="M36" s="11" t="s">
        <v>80</v>
      </c>
      <c r="N36" s="14" t="s">
        <v>188</v>
      </c>
      <c r="O36" s="47">
        <v>42601</v>
      </c>
      <c r="P36" s="15"/>
      <c r="Q36" s="16"/>
      <c r="R36" s="14" t="s">
        <v>55</v>
      </c>
      <c r="S36" s="29">
        <v>42381</v>
      </c>
      <c r="T36" s="12" t="s">
        <v>43</v>
      </c>
      <c r="U36" s="10" t="s">
        <v>56</v>
      </c>
      <c r="V36" s="24">
        <f t="shared" si="61"/>
        <v>649414.40000000002</v>
      </c>
      <c r="W36" s="24">
        <v>0</v>
      </c>
      <c r="X36" s="50">
        <v>341919.58</v>
      </c>
      <c r="Y36" s="24">
        <v>307494.82</v>
      </c>
      <c r="Z36" s="24">
        <v>0</v>
      </c>
      <c r="AA36" s="24">
        <v>0</v>
      </c>
      <c r="AB36" s="24">
        <f t="shared" si="62"/>
        <v>0</v>
      </c>
      <c r="AC36" s="24">
        <v>0</v>
      </c>
      <c r="AD36" s="50">
        <v>0</v>
      </c>
      <c r="AE36" s="24">
        <v>0</v>
      </c>
      <c r="AF36" s="24">
        <v>0</v>
      </c>
      <c r="AG36" s="24">
        <v>0</v>
      </c>
      <c r="AH36" s="22">
        <f t="shared" si="63"/>
        <v>649414.40000000002</v>
      </c>
      <c r="AI36" s="22">
        <f t="shared" si="4"/>
        <v>0</v>
      </c>
      <c r="AJ36" s="37">
        <f t="shared" si="5"/>
        <v>341919.58</v>
      </c>
      <c r="AK36" s="22">
        <f t="shared" si="6"/>
        <v>307494.82</v>
      </c>
      <c r="AL36" s="22">
        <f t="shared" si="7"/>
        <v>0</v>
      </c>
      <c r="AM36" s="22">
        <f t="shared" si="8"/>
        <v>0</v>
      </c>
      <c r="AN36" s="53">
        <v>0</v>
      </c>
      <c r="AO36" s="13">
        <f t="shared" si="64"/>
        <v>0</v>
      </c>
      <c r="AP36" s="17">
        <f t="shared" si="65"/>
        <v>341919.58</v>
      </c>
      <c r="AQ36" s="33"/>
      <c r="AR36" s="128"/>
      <c r="AS36" s="128"/>
      <c r="AT36" s="128"/>
    </row>
    <row r="37" spans="1:46" s="2" customFormat="1" ht="38.25">
      <c r="A37" s="45" t="s">
        <v>189</v>
      </c>
      <c r="B37" s="38" t="s">
        <v>186</v>
      </c>
      <c r="C37" s="38" t="s">
        <v>186</v>
      </c>
      <c r="D37" s="14" t="s">
        <v>186</v>
      </c>
      <c r="E37" s="36" t="s">
        <v>190</v>
      </c>
      <c r="F37" s="46" t="s">
        <v>147</v>
      </c>
      <c r="G37" s="14"/>
      <c r="H37" s="48" t="s">
        <v>148</v>
      </c>
      <c r="I37" s="48">
        <v>1254.82</v>
      </c>
      <c r="J37" s="48">
        <v>60</v>
      </c>
      <c r="K37" s="48">
        <v>15</v>
      </c>
      <c r="L37" s="16" t="s">
        <v>164</v>
      </c>
      <c r="M37" s="11" t="s">
        <v>80</v>
      </c>
      <c r="N37" s="14" t="s">
        <v>191</v>
      </c>
      <c r="O37" s="47">
        <v>42601</v>
      </c>
      <c r="P37" s="15"/>
      <c r="Q37" s="16"/>
      <c r="R37" s="14" t="s">
        <v>55</v>
      </c>
      <c r="S37" s="29">
        <v>42381</v>
      </c>
      <c r="T37" s="12" t="s">
        <v>43</v>
      </c>
      <c r="U37" s="10" t="s">
        <v>56</v>
      </c>
      <c r="V37" s="24">
        <f t="shared" si="61"/>
        <v>491222.80000000005</v>
      </c>
      <c r="W37" s="24">
        <v>0</v>
      </c>
      <c r="X37" s="50">
        <v>258080.42</v>
      </c>
      <c r="Y37" s="24">
        <v>233142.38</v>
      </c>
      <c r="Z37" s="24">
        <v>0</v>
      </c>
      <c r="AA37" s="24">
        <v>0</v>
      </c>
      <c r="AB37" s="24">
        <f t="shared" si="62"/>
        <v>0</v>
      </c>
      <c r="AC37" s="24">
        <v>0</v>
      </c>
      <c r="AD37" s="50">
        <v>0</v>
      </c>
      <c r="AE37" s="24">
        <v>0</v>
      </c>
      <c r="AF37" s="24">
        <v>0</v>
      </c>
      <c r="AG37" s="24">
        <v>0</v>
      </c>
      <c r="AH37" s="22">
        <f t="shared" si="63"/>
        <v>491222.80000000005</v>
      </c>
      <c r="AI37" s="22">
        <f t="shared" si="4"/>
        <v>0</v>
      </c>
      <c r="AJ37" s="37">
        <f t="shared" si="5"/>
        <v>258080.42</v>
      </c>
      <c r="AK37" s="22">
        <f t="shared" si="6"/>
        <v>233142.38</v>
      </c>
      <c r="AL37" s="22">
        <f t="shared" si="7"/>
        <v>0</v>
      </c>
      <c r="AM37" s="22">
        <f t="shared" si="8"/>
        <v>0</v>
      </c>
      <c r="AN37" s="53">
        <v>0</v>
      </c>
      <c r="AO37" s="13">
        <f t="shared" si="64"/>
        <v>0</v>
      </c>
      <c r="AP37" s="17">
        <f t="shared" si="65"/>
        <v>258080.42</v>
      </c>
      <c r="AQ37" s="33"/>
      <c r="AR37" s="128"/>
      <c r="AS37" s="128"/>
      <c r="AT37" s="128"/>
    </row>
    <row r="38" spans="1:46" s="2" customFormat="1" ht="38.25">
      <c r="A38" s="45" t="s">
        <v>192</v>
      </c>
      <c r="B38" s="38" t="s">
        <v>128</v>
      </c>
      <c r="C38" s="38" t="s">
        <v>128</v>
      </c>
      <c r="D38" s="14" t="s">
        <v>129</v>
      </c>
      <c r="E38" s="36" t="s">
        <v>130</v>
      </c>
      <c r="F38" s="46" t="s">
        <v>72</v>
      </c>
      <c r="G38" s="14"/>
      <c r="H38" s="48" t="s">
        <v>46</v>
      </c>
      <c r="I38" s="48">
        <v>1</v>
      </c>
      <c r="J38" s="48">
        <v>1424</v>
      </c>
      <c r="K38" s="48">
        <v>239</v>
      </c>
      <c r="L38" s="16" t="s">
        <v>131</v>
      </c>
      <c r="M38" s="11" t="s">
        <v>53</v>
      </c>
      <c r="N38" s="14" t="s">
        <v>193</v>
      </c>
      <c r="O38" s="47">
        <v>42605</v>
      </c>
      <c r="P38" s="15"/>
      <c r="Q38" s="16"/>
      <c r="R38" s="14" t="s">
        <v>55</v>
      </c>
      <c r="S38" s="29">
        <v>42381</v>
      </c>
      <c r="T38" s="12" t="s">
        <v>43</v>
      </c>
      <c r="U38" s="10" t="s">
        <v>56</v>
      </c>
      <c r="V38" s="24">
        <f t="shared" si="61"/>
        <v>7758000</v>
      </c>
      <c r="W38" s="24">
        <v>4590000</v>
      </c>
      <c r="X38" s="50">
        <v>1584000</v>
      </c>
      <c r="Y38" s="24">
        <v>1584000</v>
      </c>
      <c r="Z38" s="24">
        <v>0</v>
      </c>
      <c r="AA38" s="24">
        <v>0</v>
      </c>
      <c r="AB38" s="24">
        <f t="shared" si="62"/>
        <v>0</v>
      </c>
      <c r="AC38" s="24">
        <v>0</v>
      </c>
      <c r="AD38" s="50">
        <v>0</v>
      </c>
      <c r="AE38" s="24">
        <v>0</v>
      </c>
      <c r="AF38" s="24">
        <v>0</v>
      </c>
      <c r="AG38" s="24">
        <v>0</v>
      </c>
      <c r="AH38" s="22">
        <f t="shared" si="63"/>
        <v>7758000</v>
      </c>
      <c r="AI38" s="22">
        <f t="shared" si="4"/>
        <v>4590000</v>
      </c>
      <c r="AJ38" s="37">
        <f t="shared" si="5"/>
        <v>1584000</v>
      </c>
      <c r="AK38" s="22">
        <f t="shared" si="6"/>
        <v>1584000</v>
      </c>
      <c r="AL38" s="22">
        <f t="shared" si="7"/>
        <v>0</v>
      </c>
      <c r="AM38" s="22">
        <f t="shared" si="8"/>
        <v>0</v>
      </c>
      <c r="AN38" s="53">
        <v>0</v>
      </c>
      <c r="AO38" s="13">
        <f t="shared" si="64"/>
        <v>0</v>
      </c>
      <c r="AP38" s="17">
        <f t="shared" si="65"/>
        <v>1584000</v>
      </c>
      <c r="AQ38" s="33"/>
      <c r="AR38" s="128"/>
      <c r="AS38" s="128"/>
      <c r="AT38" s="128"/>
    </row>
    <row r="39" spans="1:46" s="2" customFormat="1" ht="25.5">
      <c r="A39" s="45" t="s">
        <v>194</v>
      </c>
      <c r="B39" s="38" t="s">
        <v>83</v>
      </c>
      <c r="C39" s="38" t="s">
        <v>83</v>
      </c>
      <c r="D39" s="14" t="s">
        <v>195</v>
      </c>
      <c r="E39" s="36" t="s">
        <v>196</v>
      </c>
      <c r="F39" s="46" t="s">
        <v>162</v>
      </c>
      <c r="G39" s="14"/>
      <c r="H39" s="48" t="s">
        <v>163</v>
      </c>
      <c r="I39" s="48">
        <v>1</v>
      </c>
      <c r="J39" s="48">
        <v>4</v>
      </c>
      <c r="K39" s="48">
        <v>1</v>
      </c>
      <c r="L39" s="16" t="s">
        <v>164</v>
      </c>
      <c r="M39" s="11" t="s">
        <v>53</v>
      </c>
      <c r="N39" s="14" t="s">
        <v>197</v>
      </c>
      <c r="O39" s="47">
        <v>42605</v>
      </c>
      <c r="P39" s="15"/>
      <c r="Q39" s="16"/>
      <c r="R39" s="14" t="s">
        <v>55</v>
      </c>
      <c r="S39" s="29">
        <v>42381</v>
      </c>
      <c r="T39" s="12" t="s">
        <v>43</v>
      </c>
      <c r="U39" s="10" t="s">
        <v>56</v>
      </c>
      <c r="V39" s="24">
        <f t="shared" ref="V39" si="66">+SUM(W39:AA39)</f>
        <v>32928.400000000001</v>
      </c>
      <c r="W39" s="24">
        <v>0</v>
      </c>
      <c r="X39" s="50">
        <v>32928.400000000001</v>
      </c>
      <c r="Y39" s="24">
        <v>0</v>
      </c>
      <c r="Z39" s="24">
        <v>0</v>
      </c>
      <c r="AA39" s="24">
        <v>0</v>
      </c>
      <c r="AB39" s="24">
        <f t="shared" ref="AB39" si="67">+SUM(AC39:AG39)</f>
        <v>0</v>
      </c>
      <c r="AC39" s="24">
        <v>0</v>
      </c>
      <c r="AD39" s="50">
        <v>0</v>
      </c>
      <c r="AE39" s="24">
        <v>0</v>
      </c>
      <c r="AF39" s="24">
        <v>0</v>
      </c>
      <c r="AG39" s="24">
        <v>0</v>
      </c>
      <c r="AH39" s="22">
        <f t="shared" ref="AH39" si="68">+SUM(AI39:AM39)</f>
        <v>32928.400000000001</v>
      </c>
      <c r="AI39" s="22">
        <f t="shared" ref="AI39" si="69">+W39+AC39</f>
        <v>0</v>
      </c>
      <c r="AJ39" s="37">
        <f t="shared" ref="AJ39" si="70">+X39+AD39</f>
        <v>32928.400000000001</v>
      </c>
      <c r="AK39" s="22">
        <f t="shared" ref="AK39" si="71">+Y39+AE39</f>
        <v>0</v>
      </c>
      <c r="AL39" s="22">
        <f t="shared" ref="AL39" si="72">+Z39+AF39</f>
        <v>0</v>
      </c>
      <c r="AM39" s="22">
        <f t="shared" ref="AM39" si="73">+AA39+AG39</f>
        <v>0</v>
      </c>
      <c r="AN39" s="53">
        <v>0</v>
      </c>
      <c r="AO39" s="13">
        <f t="shared" ref="AO39" si="74">+IF(AJ39=0,"N/A",(AN39)/AJ39)</f>
        <v>0</v>
      </c>
      <c r="AP39" s="17">
        <f t="shared" ref="AP39" si="75">+AJ39-AN39</f>
        <v>32928.400000000001</v>
      </c>
      <c r="AQ39" s="33"/>
      <c r="AR39" s="128"/>
      <c r="AS39" s="128"/>
      <c r="AT39" s="128"/>
    </row>
    <row r="40" spans="1:46" s="2" customFormat="1" ht="25.5">
      <c r="A40" s="45" t="s">
        <v>198</v>
      </c>
      <c r="B40" s="38" t="s">
        <v>83</v>
      </c>
      <c r="C40" s="38" t="s">
        <v>83</v>
      </c>
      <c r="D40" s="14" t="s">
        <v>199</v>
      </c>
      <c r="E40" s="36" t="s">
        <v>200</v>
      </c>
      <c r="F40" s="46" t="s">
        <v>162</v>
      </c>
      <c r="G40" s="14"/>
      <c r="H40" s="48" t="s">
        <v>163</v>
      </c>
      <c r="I40" s="48">
        <v>1</v>
      </c>
      <c r="J40" s="48">
        <v>4</v>
      </c>
      <c r="K40" s="48">
        <v>1</v>
      </c>
      <c r="L40" s="16" t="s">
        <v>164</v>
      </c>
      <c r="M40" s="11" t="s">
        <v>53</v>
      </c>
      <c r="N40" s="14" t="s">
        <v>197</v>
      </c>
      <c r="O40" s="47">
        <v>42605</v>
      </c>
      <c r="P40" s="15"/>
      <c r="Q40" s="16"/>
      <c r="R40" s="14" t="s">
        <v>55</v>
      </c>
      <c r="S40" s="29">
        <v>42381</v>
      </c>
      <c r="T40" s="12" t="s">
        <v>43</v>
      </c>
      <c r="U40" s="10" t="s">
        <v>56</v>
      </c>
      <c r="V40" s="24">
        <f t="shared" ref="V40" si="76">+SUM(W40:AA40)</f>
        <v>32928.400000000001</v>
      </c>
      <c r="W40" s="24">
        <v>0</v>
      </c>
      <c r="X40" s="50">
        <v>32928.400000000001</v>
      </c>
      <c r="Y40" s="24">
        <v>0</v>
      </c>
      <c r="Z40" s="24">
        <v>0</v>
      </c>
      <c r="AA40" s="24">
        <v>0</v>
      </c>
      <c r="AB40" s="24">
        <f t="shared" ref="AB40" si="77">+SUM(AC40:AG40)</f>
        <v>0</v>
      </c>
      <c r="AC40" s="24">
        <v>0</v>
      </c>
      <c r="AD40" s="50">
        <v>0</v>
      </c>
      <c r="AE40" s="24">
        <v>0</v>
      </c>
      <c r="AF40" s="24">
        <v>0</v>
      </c>
      <c r="AG40" s="24">
        <v>0</v>
      </c>
      <c r="AH40" s="22">
        <f t="shared" ref="AH40" si="78">+SUM(AI40:AM40)</f>
        <v>32928.400000000001</v>
      </c>
      <c r="AI40" s="22">
        <f t="shared" ref="AI40" si="79">+W40+AC40</f>
        <v>0</v>
      </c>
      <c r="AJ40" s="37">
        <f t="shared" ref="AJ40" si="80">+X40+AD40</f>
        <v>32928.400000000001</v>
      </c>
      <c r="AK40" s="22">
        <f t="shared" ref="AK40" si="81">+Y40+AE40</f>
        <v>0</v>
      </c>
      <c r="AL40" s="22">
        <f t="shared" ref="AL40" si="82">+Z40+AF40</f>
        <v>0</v>
      </c>
      <c r="AM40" s="22">
        <f t="shared" ref="AM40" si="83">+AA40+AG40</f>
        <v>0</v>
      </c>
      <c r="AN40" s="53">
        <v>0</v>
      </c>
      <c r="AO40" s="13">
        <f t="shared" ref="AO40" si="84">+IF(AJ40=0,"N/A",(AN40)/AJ40)</f>
        <v>0</v>
      </c>
      <c r="AP40" s="17">
        <f t="shared" ref="AP40" si="85">+AJ40-AN40</f>
        <v>32928.400000000001</v>
      </c>
      <c r="AQ40" s="33"/>
      <c r="AR40" s="128"/>
      <c r="AS40" s="128"/>
      <c r="AT40" s="128"/>
    </row>
    <row r="41" spans="1:46" s="2" customFormat="1" ht="25.5">
      <c r="A41" s="45" t="s">
        <v>201</v>
      </c>
      <c r="B41" s="38" t="s">
        <v>83</v>
      </c>
      <c r="C41" s="38" t="s">
        <v>83</v>
      </c>
      <c r="D41" s="14" t="s">
        <v>202</v>
      </c>
      <c r="E41" s="36" t="s">
        <v>203</v>
      </c>
      <c r="F41" s="46" t="s">
        <v>162</v>
      </c>
      <c r="G41" s="14"/>
      <c r="H41" s="48" t="s">
        <v>163</v>
      </c>
      <c r="I41" s="48">
        <v>3</v>
      </c>
      <c r="J41" s="48">
        <v>11</v>
      </c>
      <c r="K41" s="48">
        <v>3</v>
      </c>
      <c r="L41" s="16" t="s">
        <v>164</v>
      </c>
      <c r="M41" s="11" t="s">
        <v>53</v>
      </c>
      <c r="N41" s="14" t="s">
        <v>197</v>
      </c>
      <c r="O41" s="47">
        <v>42605</v>
      </c>
      <c r="P41" s="15"/>
      <c r="Q41" s="16"/>
      <c r="R41" s="14" t="s">
        <v>55</v>
      </c>
      <c r="S41" s="29">
        <v>42381</v>
      </c>
      <c r="T41" s="12" t="s">
        <v>43</v>
      </c>
      <c r="U41" s="10" t="s">
        <v>56</v>
      </c>
      <c r="V41" s="24">
        <f t="shared" ref="V41" si="86">+SUM(W41:AA41)</f>
        <v>98785.2</v>
      </c>
      <c r="W41" s="24">
        <v>0</v>
      </c>
      <c r="X41" s="50">
        <v>49392.6</v>
      </c>
      <c r="Y41" s="24">
        <v>49392.6</v>
      </c>
      <c r="Z41" s="24">
        <v>0</v>
      </c>
      <c r="AA41" s="24">
        <v>0</v>
      </c>
      <c r="AB41" s="24">
        <f t="shared" ref="AB41" si="87">+SUM(AC41:AG41)</f>
        <v>0</v>
      </c>
      <c r="AC41" s="24">
        <v>0</v>
      </c>
      <c r="AD41" s="50">
        <v>0</v>
      </c>
      <c r="AE41" s="24">
        <v>0</v>
      </c>
      <c r="AF41" s="24">
        <v>0</v>
      </c>
      <c r="AG41" s="24">
        <v>0</v>
      </c>
      <c r="AH41" s="22">
        <f t="shared" ref="AH41" si="88">+SUM(AI41:AM41)</f>
        <v>98785.2</v>
      </c>
      <c r="AI41" s="22">
        <f t="shared" ref="AI41" si="89">+W41+AC41</f>
        <v>0</v>
      </c>
      <c r="AJ41" s="37">
        <f t="shared" ref="AJ41" si="90">+X41+AD41</f>
        <v>49392.6</v>
      </c>
      <c r="AK41" s="22">
        <f t="shared" ref="AK41" si="91">+Y41+AE41</f>
        <v>49392.6</v>
      </c>
      <c r="AL41" s="22">
        <f t="shared" ref="AL41" si="92">+Z41+AF41</f>
        <v>0</v>
      </c>
      <c r="AM41" s="22">
        <f t="shared" ref="AM41" si="93">+AA41+AG41</f>
        <v>0</v>
      </c>
      <c r="AN41" s="53">
        <v>0</v>
      </c>
      <c r="AO41" s="13">
        <f t="shared" ref="AO41" si="94">+IF(AJ41=0,"N/A",(AN41)/AJ41)</f>
        <v>0</v>
      </c>
      <c r="AP41" s="17">
        <f t="shared" ref="AP41" si="95">+AJ41-AN41</f>
        <v>49392.6</v>
      </c>
      <c r="AQ41" s="33"/>
      <c r="AR41" s="128"/>
      <c r="AS41" s="128"/>
      <c r="AT41" s="128"/>
    </row>
    <row r="42" spans="1:46" s="2" customFormat="1" ht="38.25">
      <c r="A42" s="45" t="s">
        <v>204</v>
      </c>
      <c r="B42" s="38" t="s">
        <v>83</v>
      </c>
      <c r="C42" s="38" t="s">
        <v>83</v>
      </c>
      <c r="D42" s="14" t="s">
        <v>205</v>
      </c>
      <c r="E42" s="36" t="s">
        <v>206</v>
      </c>
      <c r="F42" s="46" t="s">
        <v>162</v>
      </c>
      <c r="G42" s="14"/>
      <c r="H42" s="48" t="s">
        <v>163</v>
      </c>
      <c r="I42" s="48">
        <v>2</v>
      </c>
      <c r="J42" s="48">
        <v>8</v>
      </c>
      <c r="K42" s="48">
        <v>2</v>
      </c>
      <c r="L42" s="16" t="s">
        <v>164</v>
      </c>
      <c r="M42" s="11" t="s">
        <v>53</v>
      </c>
      <c r="N42" s="14" t="s">
        <v>197</v>
      </c>
      <c r="O42" s="47">
        <v>42605</v>
      </c>
      <c r="P42" s="15"/>
      <c r="Q42" s="16"/>
      <c r="R42" s="14" t="s">
        <v>55</v>
      </c>
      <c r="S42" s="29">
        <v>42381</v>
      </c>
      <c r="T42" s="12" t="s">
        <v>43</v>
      </c>
      <c r="U42" s="10" t="s">
        <v>56</v>
      </c>
      <c r="V42" s="24">
        <f t="shared" ref="V42" si="96">+SUM(W42:AA42)</f>
        <v>65856.800000000003</v>
      </c>
      <c r="W42" s="24">
        <v>0</v>
      </c>
      <c r="X42" s="50">
        <v>32928.400000000001</v>
      </c>
      <c r="Y42" s="24">
        <v>32928.400000000001</v>
      </c>
      <c r="Z42" s="24">
        <v>0</v>
      </c>
      <c r="AA42" s="24">
        <v>0</v>
      </c>
      <c r="AB42" s="24">
        <f t="shared" ref="AB42" si="97">+SUM(AC42:AG42)</f>
        <v>0</v>
      </c>
      <c r="AC42" s="24">
        <v>0</v>
      </c>
      <c r="AD42" s="50">
        <v>0</v>
      </c>
      <c r="AE42" s="24">
        <v>0</v>
      </c>
      <c r="AF42" s="24">
        <v>0</v>
      </c>
      <c r="AG42" s="24">
        <v>0</v>
      </c>
      <c r="AH42" s="22">
        <f t="shared" ref="AH42" si="98">+SUM(AI42:AM42)</f>
        <v>65856.800000000003</v>
      </c>
      <c r="AI42" s="22">
        <f t="shared" ref="AI42" si="99">+W42+AC42</f>
        <v>0</v>
      </c>
      <c r="AJ42" s="37">
        <f t="shared" ref="AJ42" si="100">+X42+AD42</f>
        <v>32928.400000000001</v>
      </c>
      <c r="AK42" s="22">
        <f t="shared" ref="AK42" si="101">+Y42+AE42</f>
        <v>32928.400000000001</v>
      </c>
      <c r="AL42" s="22">
        <f t="shared" ref="AL42" si="102">+Z42+AF42</f>
        <v>0</v>
      </c>
      <c r="AM42" s="22">
        <f t="shared" ref="AM42" si="103">+AA42+AG42</f>
        <v>0</v>
      </c>
      <c r="AN42" s="53">
        <v>0</v>
      </c>
      <c r="AO42" s="13">
        <f t="shared" ref="AO42" si="104">+IF(AJ42=0,"N/A",(AN42)/AJ42)</f>
        <v>0</v>
      </c>
      <c r="AP42" s="17">
        <f t="shared" ref="AP42" si="105">+AJ42-AN42</f>
        <v>32928.400000000001</v>
      </c>
      <c r="AQ42" s="33"/>
      <c r="AR42" s="128"/>
      <c r="AS42" s="128"/>
      <c r="AT42" s="128"/>
    </row>
    <row r="43" spans="1:46" s="2" customFormat="1" ht="38.25">
      <c r="A43" s="45" t="s">
        <v>207</v>
      </c>
      <c r="B43" s="38" t="s">
        <v>83</v>
      </c>
      <c r="C43" s="38" t="s">
        <v>83</v>
      </c>
      <c r="D43" s="14" t="s">
        <v>208</v>
      </c>
      <c r="E43" s="36" t="s">
        <v>209</v>
      </c>
      <c r="F43" s="46" t="s">
        <v>162</v>
      </c>
      <c r="G43" s="14"/>
      <c r="H43" s="48" t="s">
        <v>163</v>
      </c>
      <c r="I43" s="48">
        <v>1</v>
      </c>
      <c r="J43" s="48">
        <v>4</v>
      </c>
      <c r="K43" s="48">
        <v>1</v>
      </c>
      <c r="L43" s="16" t="s">
        <v>164</v>
      </c>
      <c r="M43" s="11" t="s">
        <v>53</v>
      </c>
      <c r="N43" s="14" t="s">
        <v>197</v>
      </c>
      <c r="O43" s="47">
        <v>42605</v>
      </c>
      <c r="P43" s="15"/>
      <c r="Q43" s="16"/>
      <c r="R43" s="14" t="s">
        <v>55</v>
      </c>
      <c r="S43" s="29">
        <v>42381</v>
      </c>
      <c r="T43" s="12" t="s">
        <v>43</v>
      </c>
      <c r="U43" s="10" t="s">
        <v>56</v>
      </c>
      <c r="V43" s="24">
        <f t="shared" ref="V43" si="106">+SUM(W43:AA43)</f>
        <v>32918.400000000001</v>
      </c>
      <c r="W43" s="24">
        <v>0</v>
      </c>
      <c r="X43" s="50">
        <v>16464.2</v>
      </c>
      <c r="Y43" s="24">
        <v>16454.2</v>
      </c>
      <c r="Z43" s="24">
        <v>0</v>
      </c>
      <c r="AA43" s="24">
        <v>0</v>
      </c>
      <c r="AB43" s="24">
        <f t="shared" ref="AB43" si="107">+SUM(AC43:AG43)</f>
        <v>0</v>
      </c>
      <c r="AC43" s="24">
        <v>0</v>
      </c>
      <c r="AD43" s="50">
        <v>0</v>
      </c>
      <c r="AE43" s="24">
        <v>0</v>
      </c>
      <c r="AF43" s="24">
        <v>0</v>
      </c>
      <c r="AG43" s="24">
        <v>0</v>
      </c>
      <c r="AH43" s="22">
        <f t="shared" ref="AH43" si="108">+SUM(AI43:AM43)</f>
        <v>32918.400000000001</v>
      </c>
      <c r="AI43" s="22">
        <f t="shared" ref="AI43" si="109">+W43+AC43</f>
        <v>0</v>
      </c>
      <c r="AJ43" s="37">
        <f t="shared" ref="AJ43" si="110">+X43+AD43</f>
        <v>16464.2</v>
      </c>
      <c r="AK43" s="22">
        <f t="shared" ref="AK43" si="111">+Y43+AE43</f>
        <v>16454.2</v>
      </c>
      <c r="AL43" s="22">
        <f t="shared" ref="AL43" si="112">+Z43+AF43</f>
        <v>0</v>
      </c>
      <c r="AM43" s="22">
        <f t="shared" ref="AM43" si="113">+AA43+AG43</f>
        <v>0</v>
      </c>
      <c r="AN43" s="53">
        <v>0</v>
      </c>
      <c r="AO43" s="13">
        <f t="shared" ref="AO43" si="114">+IF(AJ43=0,"N/A",(AN43)/AJ43)</f>
        <v>0</v>
      </c>
      <c r="AP43" s="17">
        <f t="shared" ref="AP43" si="115">+AJ43-AN43</f>
        <v>16464.2</v>
      </c>
      <c r="AQ43" s="33"/>
      <c r="AR43" s="128"/>
      <c r="AS43" s="128"/>
      <c r="AT43" s="128"/>
    </row>
    <row r="44" spans="1:46" s="2" customFormat="1" ht="25.5">
      <c r="A44" s="45" t="s">
        <v>210</v>
      </c>
      <c r="B44" s="38" t="s">
        <v>211</v>
      </c>
      <c r="C44" s="38" t="s">
        <v>211</v>
      </c>
      <c r="D44" s="14" t="s">
        <v>212</v>
      </c>
      <c r="E44" s="36" t="s">
        <v>213</v>
      </c>
      <c r="F44" s="46" t="s">
        <v>214</v>
      </c>
      <c r="G44" s="14"/>
      <c r="H44" s="48" t="s">
        <v>215</v>
      </c>
      <c r="I44" s="48">
        <v>10</v>
      </c>
      <c r="J44" s="48">
        <v>43</v>
      </c>
      <c r="K44" s="48">
        <v>10</v>
      </c>
      <c r="L44" s="16" t="s">
        <v>164</v>
      </c>
      <c r="M44" s="11" t="s">
        <v>53</v>
      </c>
      <c r="N44" s="14" t="s">
        <v>216</v>
      </c>
      <c r="O44" s="47">
        <v>42605</v>
      </c>
      <c r="P44" s="15"/>
      <c r="Q44" s="16"/>
      <c r="R44" s="14" t="s">
        <v>55</v>
      </c>
      <c r="S44" s="29">
        <v>42381</v>
      </c>
      <c r="T44" s="12" t="s">
        <v>43</v>
      </c>
      <c r="U44" s="10" t="s">
        <v>56</v>
      </c>
      <c r="V44" s="24">
        <f t="shared" ref="V44" si="116">+SUM(W44:AA44)</f>
        <v>370137.8</v>
      </c>
      <c r="W44" s="24">
        <v>0</v>
      </c>
      <c r="X44" s="50">
        <v>185068.9</v>
      </c>
      <c r="Y44" s="24">
        <v>185068.9</v>
      </c>
      <c r="Z44" s="24">
        <v>0</v>
      </c>
      <c r="AA44" s="24">
        <v>0</v>
      </c>
      <c r="AB44" s="24">
        <f t="shared" ref="AB44" si="117">+SUM(AC44:AG44)</f>
        <v>0</v>
      </c>
      <c r="AC44" s="24">
        <v>0</v>
      </c>
      <c r="AD44" s="50">
        <v>0</v>
      </c>
      <c r="AE44" s="24">
        <v>0</v>
      </c>
      <c r="AF44" s="24">
        <v>0</v>
      </c>
      <c r="AG44" s="24">
        <v>0</v>
      </c>
      <c r="AH44" s="22">
        <f t="shared" ref="AH44" si="118">+SUM(AI44:AM44)</f>
        <v>370137.8</v>
      </c>
      <c r="AI44" s="22">
        <f t="shared" ref="AI44" si="119">+W44+AC44</f>
        <v>0</v>
      </c>
      <c r="AJ44" s="37">
        <f t="shared" ref="AJ44" si="120">+X44+AD44</f>
        <v>185068.9</v>
      </c>
      <c r="AK44" s="22">
        <f t="shared" ref="AK44" si="121">+Y44+AE44</f>
        <v>185068.9</v>
      </c>
      <c r="AL44" s="22">
        <f t="shared" ref="AL44" si="122">+Z44+AF44</f>
        <v>0</v>
      </c>
      <c r="AM44" s="22">
        <f t="shared" ref="AM44" si="123">+AA44+AG44</f>
        <v>0</v>
      </c>
      <c r="AN44" s="53">
        <v>0</v>
      </c>
      <c r="AO44" s="13">
        <f t="shared" ref="AO44" si="124">+IF(AJ44=0,"N/A",(AN44)/AJ44)</f>
        <v>0</v>
      </c>
      <c r="AP44" s="17">
        <f t="shared" ref="AP44" si="125">+AJ44-AN44</f>
        <v>185068.9</v>
      </c>
      <c r="AQ44" s="33"/>
      <c r="AR44" s="128"/>
      <c r="AS44" s="128"/>
      <c r="AT44" s="128"/>
    </row>
    <row r="45" spans="1:46" s="2" customFormat="1" ht="38.25">
      <c r="A45" s="45" t="s">
        <v>217</v>
      </c>
      <c r="B45" s="38" t="s">
        <v>48</v>
      </c>
      <c r="C45" s="38" t="s">
        <v>48</v>
      </c>
      <c r="D45" s="14" t="s">
        <v>218</v>
      </c>
      <c r="E45" s="36" t="s">
        <v>220</v>
      </c>
      <c r="F45" s="46" t="s">
        <v>214</v>
      </c>
      <c r="G45" s="14"/>
      <c r="H45" s="48" t="s">
        <v>215</v>
      </c>
      <c r="I45" s="48">
        <v>14</v>
      </c>
      <c r="J45" s="48">
        <v>57</v>
      </c>
      <c r="K45" s="48">
        <v>14</v>
      </c>
      <c r="L45" s="16" t="s">
        <v>226</v>
      </c>
      <c r="M45" s="11" t="s">
        <v>53</v>
      </c>
      <c r="N45" s="14" t="s">
        <v>227</v>
      </c>
      <c r="O45" s="47">
        <v>42605</v>
      </c>
      <c r="P45" s="15"/>
      <c r="Q45" s="16"/>
      <c r="R45" s="14" t="s">
        <v>55</v>
      </c>
      <c r="S45" s="29">
        <v>42381</v>
      </c>
      <c r="T45" s="12" t="s">
        <v>43</v>
      </c>
      <c r="U45" s="10" t="s">
        <v>56</v>
      </c>
      <c r="V45" s="24">
        <f t="shared" ref="V45" si="126">+SUM(W45:AA45)</f>
        <v>526399.52</v>
      </c>
      <c r="W45" s="24">
        <v>0</v>
      </c>
      <c r="X45" s="50">
        <v>263199.76</v>
      </c>
      <c r="Y45" s="24">
        <v>263199.76</v>
      </c>
      <c r="Z45" s="24">
        <v>0</v>
      </c>
      <c r="AA45" s="24">
        <v>0</v>
      </c>
      <c r="AB45" s="24">
        <f t="shared" ref="AB45" si="127">+SUM(AC45:AG45)</f>
        <v>0</v>
      </c>
      <c r="AC45" s="24">
        <v>0</v>
      </c>
      <c r="AD45" s="50">
        <v>0</v>
      </c>
      <c r="AE45" s="24">
        <v>0</v>
      </c>
      <c r="AF45" s="24">
        <v>0</v>
      </c>
      <c r="AG45" s="24">
        <v>0</v>
      </c>
      <c r="AH45" s="22">
        <f t="shared" ref="AH45" si="128">+SUM(AI45:AM45)</f>
        <v>526399.52</v>
      </c>
      <c r="AI45" s="22">
        <f t="shared" ref="AI45" si="129">+W45+AC45</f>
        <v>0</v>
      </c>
      <c r="AJ45" s="37">
        <f t="shared" ref="AJ45" si="130">+X45+AD45</f>
        <v>263199.76</v>
      </c>
      <c r="AK45" s="22">
        <f t="shared" ref="AK45" si="131">+Y45+AE45</f>
        <v>263199.76</v>
      </c>
      <c r="AL45" s="22">
        <f t="shared" ref="AL45" si="132">+Z45+AF45</f>
        <v>0</v>
      </c>
      <c r="AM45" s="22">
        <f t="shared" ref="AM45" si="133">+AA45+AG45</f>
        <v>0</v>
      </c>
      <c r="AN45" s="53">
        <v>0</v>
      </c>
      <c r="AO45" s="13">
        <f t="shared" ref="AO45" si="134">+IF(AJ45=0,"N/A",(AN45)/AJ45)</f>
        <v>0</v>
      </c>
      <c r="AP45" s="17">
        <f t="shared" ref="AP45" si="135">+AJ45-AN45</f>
        <v>263199.76</v>
      </c>
      <c r="AQ45" s="33"/>
      <c r="AR45" s="128"/>
      <c r="AS45" s="128"/>
      <c r="AT45" s="128"/>
    </row>
    <row r="46" spans="1:46" s="2" customFormat="1" ht="25.5">
      <c r="A46" s="45" t="s">
        <v>219</v>
      </c>
      <c r="B46" s="38" t="s">
        <v>48</v>
      </c>
      <c r="C46" s="38" t="s">
        <v>48</v>
      </c>
      <c r="D46" s="14" t="s">
        <v>221</v>
      </c>
      <c r="E46" s="36" t="s">
        <v>222</v>
      </c>
      <c r="F46" s="46" t="s">
        <v>214</v>
      </c>
      <c r="G46" s="14"/>
      <c r="H46" s="48" t="s">
        <v>215</v>
      </c>
      <c r="I46" s="48">
        <v>15</v>
      </c>
      <c r="J46" s="48">
        <v>57</v>
      </c>
      <c r="K46" s="48">
        <v>15</v>
      </c>
      <c r="L46" s="16" t="s">
        <v>226</v>
      </c>
      <c r="M46" s="11" t="s">
        <v>53</v>
      </c>
      <c r="N46" s="14" t="s">
        <v>227</v>
      </c>
      <c r="O46" s="47">
        <v>42605</v>
      </c>
      <c r="P46" s="15"/>
      <c r="Q46" s="16"/>
      <c r="R46" s="14" t="s">
        <v>55</v>
      </c>
      <c r="S46" s="29">
        <v>42381</v>
      </c>
      <c r="T46" s="12" t="s">
        <v>43</v>
      </c>
      <c r="U46" s="10" t="s">
        <v>56</v>
      </c>
      <c r="V46" s="24">
        <f t="shared" ref="V46:V47" si="136">+SUM(W46:AA46)</f>
        <v>563999.49</v>
      </c>
      <c r="W46" s="24">
        <v>0</v>
      </c>
      <c r="X46" s="50">
        <v>281999.75</v>
      </c>
      <c r="Y46" s="24">
        <v>281999.74</v>
      </c>
      <c r="Z46" s="24">
        <v>0</v>
      </c>
      <c r="AA46" s="24">
        <v>0</v>
      </c>
      <c r="AB46" s="24">
        <f t="shared" ref="AB46:AB47" si="137">+SUM(AC46:AG46)</f>
        <v>0</v>
      </c>
      <c r="AC46" s="24">
        <v>0</v>
      </c>
      <c r="AD46" s="50">
        <v>0</v>
      </c>
      <c r="AE46" s="24">
        <v>0</v>
      </c>
      <c r="AF46" s="24">
        <v>0</v>
      </c>
      <c r="AG46" s="24">
        <v>0</v>
      </c>
      <c r="AH46" s="22">
        <f t="shared" ref="AH46:AH47" si="138">+SUM(AI46:AM46)</f>
        <v>563999.49</v>
      </c>
      <c r="AI46" s="22">
        <f t="shared" ref="AI46:AI47" si="139">+W46+AC46</f>
        <v>0</v>
      </c>
      <c r="AJ46" s="37">
        <f t="shared" ref="AJ46:AJ47" si="140">+X46+AD46</f>
        <v>281999.75</v>
      </c>
      <c r="AK46" s="22">
        <f t="shared" ref="AK46:AK47" si="141">+Y46+AE46</f>
        <v>281999.74</v>
      </c>
      <c r="AL46" s="22">
        <f t="shared" ref="AL46:AL47" si="142">+Z46+AF46</f>
        <v>0</v>
      </c>
      <c r="AM46" s="22">
        <f t="shared" ref="AM46:AM47" si="143">+AA46+AG46</f>
        <v>0</v>
      </c>
      <c r="AN46" s="53">
        <v>0</v>
      </c>
      <c r="AO46" s="13">
        <f t="shared" ref="AO46:AO47" si="144">+IF(AJ46=0,"N/A",(AN46)/AJ46)</f>
        <v>0</v>
      </c>
      <c r="AP46" s="17">
        <f t="shared" ref="AP46:AP47" si="145">+AJ46-AN46</f>
        <v>281999.75</v>
      </c>
      <c r="AQ46" s="33"/>
      <c r="AR46" s="128"/>
      <c r="AS46" s="128"/>
      <c r="AT46" s="128"/>
    </row>
    <row r="47" spans="1:46" s="2" customFormat="1" ht="38.25">
      <c r="A47" s="45" t="s">
        <v>223</v>
      </c>
      <c r="B47" s="38" t="s">
        <v>48</v>
      </c>
      <c r="C47" s="38" t="s">
        <v>48</v>
      </c>
      <c r="D47" s="14" t="s">
        <v>224</v>
      </c>
      <c r="E47" s="36" t="s">
        <v>225</v>
      </c>
      <c r="F47" s="46" t="s">
        <v>214</v>
      </c>
      <c r="G47" s="14"/>
      <c r="H47" s="48" t="s">
        <v>215</v>
      </c>
      <c r="I47" s="48">
        <v>1</v>
      </c>
      <c r="J47" s="48">
        <v>4</v>
      </c>
      <c r="K47" s="48">
        <v>1</v>
      </c>
      <c r="L47" s="16" t="s">
        <v>226</v>
      </c>
      <c r="M47" s="11" t="s">
        <v>53</v>
      </c>
      <c r="N47" s="14" t="s">
        <v>227</v>
      </c>
      <c r="O47" s="47">
        <v>42605</v>
      </c>
      <c r="P47" s="15"/>
      <c r="Q47" s="16"/>
      <c r="R47" s="14" t="s">
        <v>55</v>
      </c>
      <c r="S47" s="29">
        <v>42381</v>
      </c>
      <c r="T47" s="12" t="s">
        <v>43</v>
      </c>
      <c r="U47" s="10" t="s">
        <v>56</v>
      </c>
      <c r="V47" s="24">
        <f t="shared" si="136"/>
        <v>37599.97</v>
      </c>
      <c r="W47" s="24">
        <v>0</v>
      </c>
      <c r="X47" s="50">
        <v>18799.98</v>
      </c>
      <c r="Y47" s="24">
        <v>18799.990000000002</v>
      </c>
      <c r="Z47" s="24">
        <v>0</v>
      </c>
      <c r="AA47" s="24">
        <v>0</v>
      </c>
      <c r="AB47" s="24">
        <f t="shared" si="137"/>
        <v>0</v>
      </c>
      <c r="AC47" s="24">
        <v>0</v>
      </c>
      <c r="AD47" s="50">
        <v>0</v>
      </c>
      <c r="AE47" s="24">
        <v>0</v>
      </c>
      <c r="AF47" s="24">
        <v>0</v>
      </c>
      <c r="AG47" s="24">
        <v>0</v>
      </c>
      <c r="AH47" s="22">
        <f t="shared" si="138"/>
        <v>37599.97</v>
      </c>
      <c r="AI47" s="22">
        <f t="shared" si="139"/>
        <v>0</v>
      </c>
      <c r="AJ47" s="37">
        <f t="shared" si="140"/>
        <v>18799.98</v>
      </c>
      <c r="AK47" s="22">
        <f t="shared" si="141"/>
        <v>18799.990000000002</v>
      </c>
      <c r="AL47" s="22">
        <f t="shared" si="142"/>
        <v>0</v>
      </c>
      <c r="AM47" s="22">
        <f t="shared" si="143"/>
        <v>0</v>
      </c>
      <c r="AN47" s="53">
        <v>0</v>
      </c>
      <c r="AO47" s="13">
        <f t="shared" si="144"/>
        <v>0</v>
      </c>
      <c r="AP47" s="17">
        <f t="shared" si="145"/>
        <v>18799.98</v>
      </c>
      <c r="AQ47" s="33"/>
      <c r="AR47" s="128"/>
      <c r="AS47" s="128"/>
      <c r="AT47" s="128"/>
    </row>
    <row r="48" spans="1:46" s="2" customFormat="1" ht="25.5">
      <c r="A48" s="45" t="s">
        <v>228</v>
      </c>
      <c r="B48" s="38" t="s">
        <v>58</v>
      </c>
      <c r="C48" s="38" t="s">
        <v>58</v>
      </c>
      <c r="D48" s="14" t="s">
        <v>229</v>
      </c>
      <c r="E48" s="36" t="s">
        <v>230</v>
      </c>
      <c r="F48" s="46" t="s">
        <v>162</v>
      </c>
      <c r="G48" s="14"/>
      <c r="H48" s="48" t="s">
        <v>163</v>
      </c>
      <c r="I48" s="48">
        <v>6</v>
      </c>
      <c r="J48" s="48">
        <v>23</v>
      </c>
      <c r="K48" s="48">
        <v>6</v>
      </c>
      <c r="L48" s="16" t="s">
        <v>226</v>
      </c>
      <c r="M48" s="11" t="s">
        <v>53</v>
      </c>
      <c r="N48" s="14" t="s">
        <v>231</v>
      </c>
      <c r="O48" s="47">
        <v>42605</v>
      </c>
      <c r="P48" s="15"/>
      <c r="Q48" s="16"/>
      <c r="R48" s="14" t="s">
        <v>55</v>
      </c>
      <c r="S48" s="29">
        <v>42381</v>
      </c>
      <c r="T48" s="12" t="s">
        <v>43</v>
      </c>
      <c r="U48" s="10" t="s">
        <v>56</v>
      </c>
      <c r="V48" s="24">
        <f t="shared" ref="V48" si="146">+SUM(W48:AA48)</f>
        <v>196670.4</v>
      </c>
      <c r="W48" s="24">
        <v>0</v>
      </c>
      <c r="X48" s="50">
        <v>98335.2</v>
      </c>
      <c r="Y48" s="24">
        <v>98335.2</v>
      </c>
      <c r="Z48" s="24">
        <v>0</v>
      </c>
      <c r="AA48" s="24">
        <v>0</v>
      </c>
      <c r="AB48" s="24">
        <f t="shared" ref="AB48" si="147">+SUM(AC48:AG48)</f>
        <v>0</v>
      </c>
      <c r="AC48" s="24">
        <v>0</v>
      </c>
      <c r="AD48" s="50">
        <v>0</v>
      </c>
      <c r="AE48" s="24">
        <v>0</v>
      </c>
      <c r="AF48" s="24">
        <v>0</v>
      </c>
      <c r="AG48" s="24">
        <v>0</v>
      </c>
      <c r="AH48" s="22">
        <f t="shared" ref="AH48" si="148">+SUM(AI48:AM48)</f>
        <v>196670.4</v>
      </c>
      <c r="AI48" s="22">
        <f t="shared" ref="AI48" si="149">+W48+AC48</f>
        <v>0</v>
      </c>
      <c r="AJ48" s="37">
        <f t="shared" ref="AJ48" si="150">+X48+AD48</f>
        <v>98335.2</v>
      </c>
      <c r="AK48" s="22">
        <f t="shared" ref="AK48" si="151">+Y48+AE48</f>
        <v>98335.2</v>
      </c>
      <c r="AL48" s="22">
        <f t="shared" ref="AL48" si="152">+Z48+AF48</f>
        <v>0</v>
      </c>
      <c r="AM48" s="22">
        <f t="shared" ref="AM48" si="153">+AA48+AG48</f>
        <v>0</v>
      </c>
      <c r="AN48" s="53">
        <v>0</v>
      </c>
      <c r="AO48" s="13">
        <f t="shared" ref="AO48" si="154">+IF(AJ48=0,"N/A",(AN48)/AJ48)</f>
        <v>0</v>
      </c>
      <c r="AP48" s="17">
        <f t="shared" ref="AP48" si="155">+AJ48-AN48</f>
        <v>98335.2</v>
      </c>
      <c r="AQ48" s="33"/>
      <c r="AR48" s="128"/>
      <c r="AS48" s="128"/>
      <c r="AT48" s="128"/>
    </row>
    <row r="49" spans="1:46" s="2" customFormat="1" ht="25.5">
      <c r="A49" s="45" t="s">
        <v>232</v>
      </c>
      <c r="B49" s="38" t="s">
        <v>58</v>
      </c>
      <c r="C49" s="38" t="s">
        <v>58</v>
      </c>
      <c r="D49" s="14" t="s">
        <v>233</v>
      </c>
      <c r="E49" s="36" t="s">
        <v>234</v>
      </c>
      <c r="F49" s="46" t="s">
        <v>162</v>
      </c>
      <c r="G49" s="14"/>
      <c r="H49" s="48" t="s">
        <v>163</v>
      </c>
      <c r="I49" s="48">
        <v>3</v>
      </c>
      <c r="J49" s="48">
        <v>11</v>
      </c>
      <c r="K49" s="48">
        <v>3</v>
      </c>
      <c r="L49" s="16" t="s">
        <v>226</v>
      </c>
      <c r="M49" s="11" t="s">
        <v>53</v>
      </c>
      <c r="N49" s="14" t="s">
        <v>231</v>
      </c>
      <c r="O49" s="47">
        <v>42605</v>
      </c>
      <c r="P49" s="15"/>
      <c r="Q49" s="16"/>
      <c r="R49" s="14" t="s">
        <v>55</v>
      </c>
      <c r="S49" s="29">
        <v>42381</v>
      </c>
      <c r="T49" s="12" t="s">
        <v>43</v>
      </c>
      <c r="U49" s="10" t="s">
        <v>56</v>
      </c>
      <c r="V49" s="24">
        <f t="shared" ref="V49" si="156">+SUM(W49:AA49)</f>
        <v>98335.2</v>
      </c>
      <c r="W49" s="24">
        <v>0</v>
      </c>
      <c r="X49" s="50">
        <v>49167.6</v>
      </c>
      <c r="Y49" s="24">
        <v>49167.6</v>
      </c>
      <c r="Z49" s="24">
        <v>0</v>
      </c>
      <c r="AA49" s="24">
        <v>0</v>
      </c>
      <c r="AB49" s="24">
        <f t="shared" ref="AB49" si="157">+SUM(AC49:AG49)</f>
        <v>0</v>
      </c>
      <c r="AC49" s="24">
        <v>0</v>
      </c>
      <c r="AD49" s="50">
        <v>0</v>
      </c>
      <c r="AE49" s="24">
        <v>0</v>
      </c>
      <c r="AF49" s="24">
        <v>0</v>
      </c>
      <c r="AG49" s="24">
        <v>0</v>
      </c>
      <c r="AH49" s="22">
        <f t="shared" ref="AH49" si="158">+SUM(AI49:AM49)</f>
        <v>98335.2</v>
      </c>
      <c r="AI49" s="22">
        <f t="shared" ref="AI49" si="159">+W49+AC49</f>
        <v>0</v>
      </c>
      <c r="AJ49" s="37">
        <f t="shared" ref="AJ49" si="160">+X49+AD49</f>
        <v>49167.6</v>
      </c>
      <c r="AK49" s="22">
        <f t="shared" ref="AK49" si="161">+Y49+AE49</f>
        <v>49167.6</v>
      </c>
      <c r="AL49" s="22">
        <f t="shared" ref="AL49" si="162">+Z49+AF49</f>
        <v>0</v>
      </c>
      <c r="AM49" s="22">
        <f t="shared" ref="AM49" si="163">+AA49+AG49</f>
        <v>0</v>
      </c>
      <c r="AN49" s="53">
        <v>0</v>
      </c>
      <c r="AO49" s="13">
        <f t="shared" ref="AO49" si="164">+IF(AJ49=0,"N/A",(AN49)/AJ49)</f>
        <v>0</v>
      </c>
      <c r="AP49" s="17">
        <f t="shared" ref="AP49" si="165">+AJ49-AN49</f>
        <v>49167.6</v>
      </c>
      <c r="AQ49" s="33"/>
      <c r="AR49" s="128"/>
      <c r="AS49" s="128"/>
      <c r="AT49" s="128"/>
    </row>
    <row r="50" spans="1:46" s="2" customFormat="1" ht="25.5">
      <c r="A50" s="45" t="s">
        <v>235</v>
      </c>
      <c r="B50" s="38" t="s">
        <v>58</v>
      </c>
      <c r="C50" s="38" t="s">
        <v>58</v>
      </c>
      <c r="D50" s="14" t="s">
        <v>236</v>
      </c>
      <c r="E50" s="36" t="s">
        <v>237</v>
      </c>
      <c r="F50" s="46" t="s">
        <v>162</v>
      </c>
      <c r="G50" s="14"/>
      <c r="H50" s="48" t="s">
        <v>163</v>
      </c>
      <c r="I50" s="48">
        <v>1</v>
      </c>
      <c r="J50" s="48">
        <v>4</v>
      </c>
      <c r="K50" s="48">
        <v>1</v>
      </c>
      <c r="L50" s="16" t="s">
        <v>226</v>
      </c>
      <c r="M50" s="11" t="s">
        <v>53</v>
      </c>
      <c r="N50" s="14" t="s">
        <v>231</v>
      </c>
      <c r="O50" s="47">
        <v>42605</v>
      </c>
      <c r="P50" s="15"/>
      <c r="Q50" s="16"/>
      <c r="R50" s="14" t="s">
        <v>55</v>
      </c>
      <c r="S50" s="29">
        <v>42381</v>
      </c>
      <c r="T50" s="12" t="s">
        <v>43</v>
      </c>
      <c r="U50" s="10" t="s">
        <v>56</v>
      </c>
      <c r="V50" s="24">
        <f t="shared" ref="V50" si="166">+SUM(W50:AA50)</f>
        <v>32778.400000000001</v>
      </c>
      <c r="W50" s="24">
        <v>0</v>
      </c>
      <c r="X50" s="50">
        <v>16389.2</v>
      </c>
      <c r="Y50" s="24">
        <v>16389.2</v>
      </c>
      <c r="Z50" s="24">
        <v>0</v>
      </c>
      <c r="AA50" s="24">
        <v>0</v>
      </c>
      <c r="AB50" s="24">
        <f t="shared" ref="AB50" si="167">+SUM(AC50:AG50)</f>
        <v>0</v>
      </c>
      <c r="AC50" s="24">
        <v>0</v>
      </c>
      <c r="AD50" s="50">
        <v>0</v>
      </c>
      <c r="AE50" s="24">
        <v>0</v>
      </c>
      <c r="AF50" s="24">
        <v>0</v>
      </c>
      <c r="AG50" s="24">
        <v>0</v>
      </c>
      <c r="AH50" s="22">
        <f t="shared" ref="AH50" si="168">+SUM(AI50:AM50)</f>
        <v>32778.400000000001</v>
      </c>
      <c r="AI50" s="22">
        <f t="shared" ref="AI50" si="169">+W50+AC50</f>
        <v>0</v>
      </c>
      <c r="AJ50" s="37">
        <f t="shared" ref="AJ50" si="170">+X50+AD50</f>
        <v>16389.2</v>
      </c>
      <c r="AK50" s="22">
        <f t="shared" ref="AK50" si="171">+Y50+AE50</f>
        <v>16389.2</v>
      </c>
      <c r="AL50" s="22">
        <f t="shared" ref="AL50" si="172">+Z50+AF50</f>
        <v>0</v>
      </c>
      <c r="AM50" s="22">
        <f t="shared" ref="AM50" si="173">+AA50+AG50</f>
        <v>0</v>
      </c>
      <c r="AN50" s="53">
        <v>0</v>
      </c>
      <c r="AO50" s="13">
        <f t="shared" ref="AO50" si="174">+IF(AJ50=0,"N/A",(AN50)/AJ50)</f>
        <v>0</v>
      </c>
      <c r="AP50" s="17">
        <f t="shared" ref="AP50" si="175">+AJ50-AN50</f>
        <v>16389.2</v>
      </c>
      <c r="AQ50" s="33"/>
      <c r="AR50" s="128"/>
      <c r="AS50" s="128"/>
      <c r="AT50" s="128"/>
    </row>
    <row r="51" spans="1:46" s="2" customFormat="1" ht="25.5">
      <c r="A51" s="45" t="s">
        <v>238</v>
      </c>
      <c r="B51" s="38" t="s">
        <v>58</v>
      </c>
      <c r="C51" s="38" t="s">
        <v>58</v>
      </c>
      <c r="D51" s="14" t="s">
        <v>239</v>
      </c>
      <c r="E51" s="36" t="s">
        <v>240</v>
      </c>
      <c r="F51" s="46" t="s">
        <v>214</v>
      </c>
      <c r="G51" s="14"/>
      <c r="H51" s="48" t="s">
        <v>215</v>
      </c>
      <c r="I51" s="48">
        <v>6</v>
      </c>
      <c r="J51" s="48">
        <v>23</v>
      </c>
      <c r="K51" s="48">
        <v>6</v>
      </c>
      <c r="L51" s="16" t="s">
        <v>226</v>
      </c>
      <c r="M51" s="11" t="s">
        <v>53</v>
      </c>
      <c r="N51" s="14" t="s">
        <v>241</v>
      </c>
      <c r="O51" s="47">
        <v>42605</v>
      </c>
      <c r="P51" s="15"/>
      <c r="Q51" s="16"/>
      <c r="R51" s="14" t="s">
        <v>55</v>
      </c>
      <c r="S51" s="29">
        <v>42381</v>
      </c>
      <c r="T51" s="12" t="s">
        <v>43</v>
      </c>
      <c r="U51" s="10" t="s">
        <v>56</v>
      </c>
      <c r="V51" s="24">
        <f t="shared" ref="V51" si="176">+SUM(W51:AA51)</f>
        <v>224871.57</v>
      </c>
      <c r="W51" s="24">
        <v>0</v>
      </c>
      <c r="X51" s="50">
        <v>112435.79</v>
      </c>
      <c r="Y51" s="24">
        <v>112435.78</v>
      </c>
      <c r="Z51" s="24">
        <v>0</v>
      </c>
      <c r="AA51" s="24">
        <v>0</v>
      </c>
      <c r="AB51" s="24">
        <f t="shared" ref="AB51" si="177">+SUM(AC51:AG51)</f>
        <v>0</v>
      </c>
      <c r="AC51" s="24">
        <v>0</v>
      </c>
      <c r="AD51" s="50">
        <v>0</v>
      </c>
      <c r="AE51" s="24">
        <v>0</v>
      </c>
      <c r="AF51" s="24">
        <v>0</v>
      </c>
      <c r="AG51" s="24">
        <v>0</v>
      </c>
      <c r="AH51" s="22">
        <f t="shared" ref="AH51" si="178">+SUM(AI51:AM51)</f>
        <v>224871.57</v>
      </c>
      <c r="AI51" s="22">
        <f t="shared" ref="AI51" si="179">+W51+AC51</f>
        <v>0</v>
      </c>
      <c r="AJ51" s="37">
        <f t="shared" ref="AJ51" si="180">+X51+AD51</f>
        <v>112435.79</v>
      </c>
      <c r="AK51" s="22">
        <f t="shared" ref="AK51" si="181">+Y51+AE51</f>
        <v>112435.78</v>
      </c>
      <c r="AL51" s="22">
        <f t="shared" ref="AL51" si="182">+Z51+AF51</f>
        <v>0</v>
      </c>
      <c r="AM51" s="22">
        <f t="shared" ref="AM51" si="183">+AA51+AG51</f>
        <v>0</v>
      </c>
      <c r="AN51" s="53">
        <v>0</v>
      </c>
      <c r="AO51" s="13">
        <f t="shared" ref="AO51" si="184">+IF(AJ51=0,"N/A",(AN51)/AJ51)</f>
        <v>0</v>
      </c>
      <c r="AP51" s="17">
        <f t="shared" ref="AP51" si="185">+AJ51-AN51</f>
        <v>112435.79</v>
      </c>
      <c r="AQ51" s="33"/>
      <c r="AR51" s="128"/>
      <c r="AS51" s="128"/>
      <c r="AT51" s="128"/>
    </row>
    <row r="52" spans="1:46" s="2" customFormat="1" ht="25.5">
      <c r="A52" s="45" t="s">
        <v>242</v>
      </c>
      <c r="B52" s="38" t="s">
        <v>58</v>
      </c>
      <c r="C52" s="38" t="s">
        <v>58</v>
      </c>
      <c r="D52" s="14" t="s">
        <v>104</v>
      </c>
      <c r="E52" s="36" t="s">
        <v>243</v>
      </c>
      <c r="F52" s="46" t="s">
        <v>214</v>
      </c>
      <c r="G52" s="14"/>
      <c r="H52" s="48" t="s">
        <v>215</v>
      </c>
      <c r="I52" s="48">
        <v>29</v>
      </c>
      <c r="J52" s="48">
        <v>111</v>
      </c>
      <c r="K52" s="48">
        <v>29</v>
      </c>
      <c r="L52" s="16" t="s">
        <v>226</v>
      </c>
      <c r="M52" s="11" t="s">
        <v>53</v>
      </c>
      <c r="N52" s="14" t="s">
        <v>241</v>
      </c>
      <c r="O52" s="47">
        <v>42605</v>
      </c>
      <c r="P52" s="15"/>
      <c r="Q52" s="16"/>
      <c r="R52" s="14" t="s">
        <v>55</v>
      </c>
      <c r="S52" s="29">
        <v>42381</v>
      </c>
      <c r="T52" s="12" t="s">
        <v>43</v>
      </c>
      <c r="U52" s="10" t="s">
        <v>56</v>
      </c>
      <c r="V52" s="24">
        <f t="shared" ref="V52" si="186">+SUM(W52:AA52)</f>
        <v>1086879.23</v>
      </c>
      <c r="W52" s="24">
        <v>0</v>
      </c>
      <c r="X52" s="50">
        <v>543439.61</v>
      </c>
      <c r="Y52" s="24">
        <v>543439.62</v>
      </c>
      <c r="Z52" s="24">
        <v>0</v>
      </c>
      <c r="AA52" s="24">
        <v>0</v>
      </c>
      <c r="AB52" s="24">
        <f t="shared" ref="AB52" si="187">+SUM(AC52:AG52)</f>
        <v>0</v>
      </c>
      <c r="AC52" s="24">
        <v>0</v>
      </c>
      <c r="AD52" s="50">
        <v>0</v>
      </c>
      <c r="AE52" s="24">
        <v>0</v>
      </c>
      <c r="AF52" s="24">
        <v>0</v>
      </c>
      <c r="AG52" s="24">
        <v>0</v>
      </c>
      <c r="AH52" s="22">
        <f t="shared" ref="AH52" si="188">+SUM(AI52:AM52)</f>
        <v>1086879.23</v>
      </c>
      <c r="AI52" s="22">
        <f t="shared" ref="AI52" si="189">+W52+AC52</f>
        <v>0</v>
      </c>
      <c r="AJ52" s="37">
        <f t="shared" ref="AJ52" si="190">+X52+AD52</f>
        <v>543439.61</v>
      </c>
      <c r="AK52" s="22">
        <f t="shared" ref="AK52" si="191">+Y52+AE52</f>
        <v>543439.62</v>
      </c>
      <c r="AL52" s="22">
        <f t="shared" ref="AL52" si="192">+Z52+AF52</f>
        <v>0</v>
      </c>
      <c r="AM52" s="22">
        <f t="shared" ref="AM52" si="193">+AA52+AG52</f>
        <v>0</v>
      </c>
      <c r="AN52" s="53">
        <v>0</v>
      </c>
      <c r="AO52" s="13">
        <f t="shared" ref="AO52" si="194">+IF(AJ52=0,"N/A",(AN52)/AJ52)</f>
        <v>0</v>
      </c>
      <c r="AP52" s="17">
        <f t="shared" ref="AP52" si="195">+AJ52-AN52</f>
        <v>543439.61</v>
      </c>
      <c r="AQ52" s="33"/>
      <c r="AR52" s="128"/>
      <c r="AS52" s="128"/>
      <c r="AT52" s="128"/>
    </row>
    <row r="53" spans="1:46" s="2" customFormat="1" ht="25.5">
      <c r="A53" s="45" t="s">
        <v>244</v>
      </c>
      <c r="B53" s="38" t="s">
        <v>245</v>
      </c>
      <c r="C53" s="38" t="s">
        <v>245</v>
      </c>
      <c r="D53" s="14" t="s">
        <v>246</v>
      </c>
      <c r="E53" s="36" t="s">
        <v>247</v>
      </c>
      <c r="F53" s="46" t="s">
        <v>162</v>
      </c>
      <c r="G53" s="14"/>
      <c r="H53" s="48" t="s">
        <v>163</v>
      </c>
      <c r="I53" s="48">
        <v>1</v>
      </c>
      <c r="J53" s="48">
        <v>2</v>
      </c>
      <c r="K53" s="48">
        <v>1</v>
      </c>
      <c r="L53" s="16" t="s">
        <v>164</v>
      </c>
      <c r="M53" s="11" t="s">
        <v>53</v>
      </c>
      <c r="N53" s="14" t="s">
        <v>248</v>
      </c>
      <c r="O53" s="47">
        <v>42608</v>
      </c>
      <c r="P53" s="15"/>
      <c r="Q53" s="16"/>
      <c r="R53" s="14" t="s">
        <v>55</v>
      </c>
      <c r="S53" s="29">
        <v>42381</v>
      </c>
      <c r="T53" s="12" t="s">
        <v>43</v>
      </c>
      <c r="U53" s="10" t="s">
        <v>56</v>
      </c>
      <c r="V53" s="24">
        <f t="shared" ref="V53" si="196">+SUM(W53:AA53)</f>
        <v>33035.54</v>
      </c>
      <c r="W53" s="24">
        <v>0</v>
      </c>
      <c r="X53" s="50">
        <v>16517.77</v>
      </c>
      <c r="Y53" s="24">
        <v>16517.77</v>
      </c>
      <c r="Z53" s="24">
        <v>0</v>
      </c>
      <c r="AA53" s="24">
        <v>0</v>
      </c>
      <c r="AB53" s="24">
        <f t="shared" ref="AB53" si="197">+SUM(AC53:AG53)</f>
        <v>0</v>
      </c>
      <c r="AC53" s="24">
        <v>0</v>
      </c>
      <c r="AD53" s="50">
        <v>0</v>
      </c>
      <c r="AE53" s="24">
        <v>0</v>
      </c>
      <c r="AF53" s="24">
        <v>0</v>
      </c>
      <c r="AG53" s="24">
        <v>0</v>
      </c>
      <c r="AH53" s="22">
        <f t="shared" ref="AH53" si="198">+SUM(AI53:AM53)</f>
        <v>33035.54</v>
      </c>
      <c r="AI53" s="22">
        <f t="shared" ref="AI53" si="199">+W53+AC53</f>
        <v>0</v>
      </c>
      <c r="AJ53" s="37">
        <f t="shared" ref="AJ53" si="200">+X53+AD53</f>
        <v>16517.77</v>
      </c>
      <c r="AK53" s="22">
        <f t="shared" ref="AK53" si="201">+Y53+AE53</f>
        <v>16517.77</v>
      </c>
      <c r="AL53" s="22">
        <f t="shared" ref="AL53" si="202">+Z53+AF53</f>
        <v>0</v>
      </c>
      <c r="AM53" s="22">
        <f t="shared" ref="AM53" si="203">+AA53+AG53</f>
        <v>0</v>
      </c>
      <c r="AN53" s="53">
        <v>0</v>
      </c>
      <c r="AO53" s="13">
        <f t="shared" ref="AO53" si="204">+IF(AJ53=0,"N/A",(AN53)/AJ53)</f>
        <v>0</v>
      </c>
      <c r="AP53" s="17">
        <f t="shared" ref="AP53" si="205">+AJ53-AN53</f>
        <v>16517.77</v>
      </c>
      <c r="AQ53" s="33"/>
      <c r="AR53" s="128"/>
      <c r="AS53" s="128"/>
      <c r="AT53" s="128"/>
    </row>
    <row r="54" spans="1:46" s="2" customFormat="1" ht="25.5">
      <c r="A54" s="45" t="s">
        <v>249</v>
      </c>
      <c r="B54" s="38" t="s">
        <v>245</v>
      </c>
      <c r="C54" s="38" t="s">
        <v>245</v>
      </c>
      <c r="D54" s="14" t="s">
        <v>250</v>
      </c>
      <c r="E54" s="36" t="s">
        <v>251</v>
      </c>
      <c r="F54" s="46" t="s">
        <v>162</v>
      </c>
      <c r="G54" s="14"/>
      <c r="H54" s="48" t="s">
        <v>163</v>
      </c>
      <c r="I54" s="48">
        <v>1</v>
      </c>
      <c r="J54" s="48">
        <v>1</v>
      </c>
      <c r="K54" s="48">
        <v>1</v>
      </c>
      <c r="L54" s="16" t="s">
        <v>164</v>
      </c>
      <c r="M54" s="11" t="s">
        <v>53</v>
      </c>
      <c r="N54" s="14" t="s">
        <v>248</v>
      </c>
      <c r="O54" s="47">
        <v>42608</v>
      </c>
      <c r="P54" s="15"/>
      <c r="Q54" s="16"/>
      <c r="R54" s="14" t="s">
        <v>55</v>
      </c>
      <c r="S54" s="29">
        <v>42381</v>
      </c>
      <c r="T54" s="12" t="s">
        <v>43</v>
      </c>
      <c r="U54" s="10" t="s">
        <v>56</v>
      </c>
      <c r="V54" s="24">
        <f t="shared" ref="V54" si="206">+SUM(W54:AA54)</f>
        <v>33035.54</v>
      </c>
      <c r="W54" s="24">
        <v>0</v>
      </c>
      <c r="X54" s="50">
        <v>16517.77</v>
      </c>
      <c r="Y54" s="24">
        <v>16517.77</v>
      </c>
      <c r="Z54" s="24">
        <v>0</v>
      </c>
      <c r="AA54" s="24">
        <v>0</v>
      </c>
      <c r="AB54" s="24">
        <f t="shared" ref="AB54" si="207">+SUM(AC54:AG54)</f>
        <v>0</v>
      </c>
      <c r="AC54" s="24">
        <v>0</v>
      </c>
      <c r="AD54" s="50">
        <v>0</v>
      </c>
      <c r="AE54" s="24">
        <v>0</v>
      </c>
      <c r="AF54" s="24">
        <v>0</v>
      </c>
      <c r="AG54" s="24">
        <v>0</v>
      </c>
      <c r="AH54" s="22">
        <f t="shared" ref="AH54" si="208">+SUM(AI54:AM54)</f>
        <v>33035.54</v>
      </c>
      <c r="AI54" s="22">
        <f t="shared" ref="AI54" si="209">+W54+AC54</f>
        <v>0</v>
      </c>
      <c r="AJ54" s="37">
        <f t="shared" ref="AJ54" si="210">+X54+AD54</f>
        <v>16517.77</v>
      </c>
      <c r="AK54" s="22">
        <f t="shared" ref="AK54" si="211">+Y54+AE54</f>
        <v>16517.77</v>
      </c>
      <c r="AL54" s="22">
        <f t="shared" ref="AL54" si="212">+Z54+AF54</f>
        <v>0</v>
      </c>
      <c r="AM54" s="22">
        <f t="shared" ref="AM54" si="213">+AA54+AG54</f>
        <v>0</v>
      </c>
      <c r="AN54" s="53">
        <v>0</v>
      </c>
      <c r="AO54" s="13">
        <f t="shared" ref="AO54" si="214">+IF(AJ54=0,"N/A",(AN54)/AJ54)</f>
        <v>0</v>
      </c>
      <c r="AP54" s="17">
        <f t="shared" ref="AP54" si="215">+AJ54-AN54</f>
        <v>16517.77</v>
      </c>
      <c r="AQ54" s="33"/>
      <c r="AR54" s="128"/>
      <c r="AS54" s="128"/>
      <c r="AT54" s="128"/>
    </row>
    <row r="55" spans="1:46" s="2" customFormat="1" ht="25.5">
      <c r="A55" s="45" t="s">
        <v>252</v>
      </c>
      <c r="B55" s="38" t="s">
        <v>245</v>
      </c>
      <c r="C55" s="38" t="s">
        <v>245</v>
      </c>
      <c r="D55" s="14" t="s">
        <v>245</v>
      </c>
      <c r="E55" s="36" t="s">
        <v>253</v>
      </c>
      <c r="F55" s="46" t="s">
        <v>162</v>
      </c>
      <c r="G55" s="14"/>
      <c r="H55" s="48" t="s">
        <v>163</v>
      </c>
      <c r="I55" s="48">
        <v>1</v>
      </c>
      <c r="J55" s="48">
        <v>2</v>
      </c>
      <c r="K55" s="48">
        <v>1</v>
      </c>
      <c r="L55" s="16" t="s">
        <v>164</v>
      </c>
      <c r="M55" s="11" t="s">
        <v>53</v>
      </c>
      <c r="N55" s="14" t="s">
        <v>248</v>
      </c>
      <c r="O55" s="47">
        <v>42608</v>
      </c>
      <c r="P55" s="15"/>
      <c r="Q55" s="16"/>
      <c r="R55" s="14" t="s">
        <v>55</v>
      </c>
      <c r="S55" s="29">
        <v>42381</v>
      </c>
      <c r="T55" s="12" t="s">
        <v>43</v>
      </c>
      <c r="U55" s="10" t="s">
        <v>56</v>
      </c>
      <c r="V55" s="24">
        <f t="shared" ref="V55" si="216">+SUM(W55:AA55)</f>
        <v>33035.54</v>
      </c>
      <c r="W55" s="24">
        <v>0</v>
      </c>
      <c r="X55" s="50">
        <v>16517.77</v>
      </c>
      <c r="Y55" s="24">
        <v>16517.77</v>
      </c>
      <c r="Z55" s="24">
        <v>0</v>
      </c>
      <c r="AA55" s="24">
        <v>0</v>
      </c>
      <c r="AB55" s="24">
        <f t="shared" ref="AB55" si="217">+SUM(AC55:AG55)</f>
        <v>0</v>
      </c>
      <c r="AC55" s="24">
        <v>0</v>
      </c>
      <c r="AD55" s="50">
        <v>0</v>
      </c>
      <c r="AE55" s="24">
        <v>0</v>
      </c>
      <c r="AF55" s="24">
        <v>0</v>
      </c>
      <c r="AG55" s="24">
        <v>0</v>
      </c>
      <c r="AH55" s="22">
        <f t="shared" ref="AH55" si="218">+SUM(AI55:AM55)</f>
        <v>33035.54</v>
      </c>
      <c r="AI55" s="22">
        <f t="shared" ref="AI55" si="219">+W55+AC55</f>
        <v>0</v>
      </c>
      <c r="AJ55" s="37">
        <f t="shared" ref="AJ55" si="220">+X55+AD55</f>
        <v>16517.77</v>
      </c>
      <c r="AK55" s="22">
        <f t="shared" ref="AK55" si="221">+Y55+AE55</f>
        <v>16517.77</v>
      </c>
      <c r="AL55" s="22">
        <f t="shared" ref="AL55" si="222">+Z55+AF55</f>
        <v>0</v>
      </c>
      <c r="AM55" s="22">
        <f t="shared" ref="AM55" si="223">+AA55+AG55</f>
        <v>0</v>
      </c>
      <c r="AN55" s="53">
        <v>0</v>
      </c>
      <c r="AO55" s="13">
        <f t="shared" ref="AO55" si="224">+IF(AJ55=0,"N/A",(AN55)/AJ55)</f>
        <v>0</v>
      </c>
      <c r="AP55" s="17">
        <f t="shared" ref="AP55" si="225">+AJ55-AN55</f>
        <v>16517.77</v>
      </c>
      <c r="AQ55" s="33"/>
      <c r="AR55" s="128"/>
      <c r="AS55" s="128"/>
      <c r="AT55" s="128"/>
    </row>
    <row r="56" spans="1:46" s="2" customFormat="1" ht="25.5">
      <c r="A56" s="45" t="s">
        <v>254</v>
      </c>
      <c r="B56" s="38" t="s">
        <v>245</v>
      </c>
      <c r="C56" s="38" t="s">
        <v>245</v>
      </c>
      <c r="D56" s="14" t="s">
        <v>255</v>
      </c>
      <c r="E56" s="36" t="s">
        <v>256</v>
      </c>
      <c r="F56" s="46" t="s">
        <v>162</v>
      </c>
      <c r="G56" s="14"/>
      <c r="H56" s="48" t="s">
        <v>163</v>
      </c>
      <c r="I56" s="48">
        <v>2</v>
      </c>
      <c r="J56" s="48">
        <v>4</v>
      </c>
      <c r="K56" s="48">
        <v>2</v>
      </c>
      <c r="L56" s="16" t="s">
        <v>164</v>
      </c>
      <c r="M56" s="11" t="s">
        <v>53</v>
      </c>
      <c r="N56" s="14" t="s">
        <v>248</v>
      </c>
      <c r="O56" s="47">
        <v>42608</v>
      </c>
      <c r="P56" s="15"/>
      <c r="Q56" s="16"/>
      <c r="R56" s="14" t="s">
        <v>55</v>
      </c>
      <c r="S56" s="29">
        <v>42381</v>
      </c>
      <c r="T56" s="12" t="s">
        <v>43</v>
      </c>
      <c r="U56" s="10" t="s">
        <v>56</v>
      </c>
      <c r="V56" s="24">
        <f t="shared" ref="V56" si="226">+SUM(W56:AA56)</f>
        <v>66071.100000000006</v>
      </c>
      <c r="W56" s="24">
        <v>0</v>
      </c>
      <c r="X56" s="50">
        <v>66071.100000000006</v>
      </c>
      <c r="Y56" s="24">
        <v>0</v>
      </c>
      <c r="Z56" s="24">
        <v>0</v>
      </c>
      <c r="AA56" s="24">
        <v>0</v>
      </c>
      <c r="AB56" s="24">
        <f t="shared" ref="AB56" si="227">+SUM(AC56:AG56)</f>
        <v>0</v>
      </c>
      <c r="AC56" s="24">
        <v>0</v>
      </c>
      <c r="AD56" s="50">
        <v>0</v>
      </c>
      <c r="AE56" s="24">
        <v>0</v>
      </c>
      <c r="AF56" s="24">
        <v>0</v>
      </c>
      <c r="AG56" s="24">
        <v>0</v>
      </c>
      <c r="AH56" s="22">
        <f t="shared" ref="AH56" si="228">+SUM(AI56:AM56)</f>
        <v>66071.100000000006</v>
      </c>
      <c r="AI56" s="22">
        <f t="shared" ref="AI56" si="229">+W56+AC56</f>
        <v>0</v>
      </c>
      <c r="AJ56" s="37">
        <f t="shared" ref="AJ56" si="230">+X56+AD56</f>
        <v>66071.100000000006</v>
      </c>
      <c r="AK56" s="22">
        <f t="shared" ref="AK56" si="231">+Y56+AE56</f>
        <v>0</v>
      </c>
      <c r="AL56" s="22">
        <f t="shared" ref="AL56" si="232">+Z56+AF56</f>
        <v>0</v>
      </c>
      <c r="AM56" s="22">
        <f t="shared" ref="AM56" si="233">+AA56+AG56</f>
        <v>0</v>
      </c>
      <c r="AN56" s="53">
        <v>0</v>
      </c>
      <c r="AO56" s="13">
        <f t="shared" ref="AO56" si="234">+IF(AJ56=0,"N/A",(AN56)/AJ56)</f>
        <v>0</v>
      </c>
      <c r="AP56" s="17">
        <f t="shared" ref="AP56" si="235">+AJ56-AN56</f>
        <v>66071.100000000006</v>
      </c>
      <c r="AQ56" s="33"/>
      <c r="AR56" s="128"/>
      <c r="AS56" s="128"/>
      <c r="AT56" s="128"/>
    </row>
    <row r="57" spans="1:46" s="2" customFormat="1" ht="25.5">
      <c r="A57" s="45" t="s">
        <v>257</v>
      </c>
      <c r="B57" s="38" t="s">
        <v>245</v>
      </c>
      <c r="C57" s="38" t="s">
        <v>245</v>
      </c>
      <c r="D57" s="14" t="s">
        <v>258</v>
      </c>
      <c r="E57" s="36" t="s">
        <v>259</v>
      </c>
      <c r="F57" s="46" t="s">
        <v>162</v>
      </c>
      <c r="G57" s="14"/>
      <c r="H57" s="48" t="s">
        <v>163</v>
      </c>
      <c r="I57" s="48">
        <v>1</v>
      </c>
      <c r="J57" s="48">
        <v>2</v>
      </c>
      <c r="K57" s="48">
        <v>1</v>
      </c>
      <c r="L57" s="16" t="s">
        <v>164</v>
      </c>
      <c r="M57" s="11" t="s">
        <v>53</v>
      </c>
      <c r="N57" s="14" t="s">
        <v>248</v>
      </c>
      <c r="O57" s="47">
        <v>42608</v>
      </c>
      <c r="P57" s="15"/>
      <c r="Q57" s="16"/>
      <c r="R57" s="14" t="s">
        <v>55</v>
      </c>
      <c r="S57" s="29">
        <v>42381</v>
      </c>
      <c r="T57" s="12" t="s">
        <v>43</v>
      </c>
      <c r="U57" s="10" t="s">
        <v>56</v>
      </c>
      <c r="V57" s="24">
        <f t="shared" ref="V57" si="236">+SUM(W57:AA57)</f>
        <v>33035.54</v>
      </c>
      <c r="W57" s="24">
        <v>0</v>
      </c>
      <c r="X57" s="50">
        <v>16517.77</v>
      </c>
      <c r="Y57" s="24">
        <v>16517.77</v>
      </c>
      <c r="Z57" s="24">
        <v>0</v>
      </c>
      <c r="AA57" s="24">
        <v>0</v>
      </c>
      <c r="AB57" s="24">
        <f t="shared" ref="AB57" si="237">+SUM(AC57:AG57)</f>
        <v>0</v>
      </c>
      <c r="AC57" s="24">
        <v>0</v>
      </c>
      <c r="AD57" s="50">
        <v>0</v>
      </c>
      <c r="AE57" s="24">
        <v>0</v>
      </c>
      <c r="AF57" s="24">
        <v>0</v>
      </c>
      <c r="AG57" s="24">
        <v>0</v>
      </c>
      <c r="AH57" s="22">
        <f t="shared" ref="AH57" si="238">+SUM(AI57:AM57)</f>
        <v>33035.54</v>
      </c>
      <c r="AI57" s="22">
        <f t="shared" ref="AI57" si="239">+W57+AC57</f>
        <v>0</v>
      </c>
      <c r="AJ57" s="37">
        <f t="shared" ref="AJ57" si="240">+X57+AD57</f>
        <v>16517.77</v>
      </c>
      <c r="AK57" s="22">
        <f t="shared" ref="AK57" si="241">+Y57+AE57</f>
        <v>16517.77</v>
      </c>
      <c r="AL57" s="22">
        <f t="shared" ref="AL57" si="242">+Z57+AF57</f>
        <v>0</v>
      </c>
      <c r="AM57" s="22">
        <f t="shared" ref="AM57" si="243">+AA57+AG57</f>
        <v>0</v>
      </c>
      <c r="AN57" s="53">
        <v>0</v>
      </c>
      <c r="AO57" s="13">
        <f t="shared" ref="AO57" si="244">+IF(AJ57=0,"N/A",(AN57)/AJ57)</f>
        <v>0</v>
      </c>
      <c r="AP57" s="17">
        <f t="shared" ref="AP57" si="245">+AJ57-AN57</f>
        <v>16517.77</v>
      </c>
      <c r="AQ57" s="33"/>
      <c r="AR57" s="128"/>
      <c r="AS57" s="128"/>
      <c r="AT57" s="128"/>
    </row>
    <row r="58" spans="1:46" s="2" customFormat="1" ht="25.5">
      <c r="A58" s="45" t="s">
        <v>260</v>
      </c>
      <c r="B58" s="38" t="s">
        <v>245</v>
      </c>
      <c r="C58" s="38" t="s">
        <v>245</v>
      </c>
      <c r="D58" s="14" t="s">
        <v>261</v>
      </c>
      <c r="E58" s="36" t="s">
        <v>262</v>
      </c>
      <c r="F58" s="46" t="s">
        <v>162</v>
      </c>
      <c r="G58" s="14"/>
      <c r="H58" s="48" t="s">
        <v>163</v>
      </c>
      <c r="I58" s="48">
        <v>1</v>
      </c>
      <c r="J58" s="48">
        <v>6</v>
      </c>
      <c r="K58" s="48">
        <v>1</v>
      </c>
      <c r="L58" s="16" t="s">
        <v>164</v>
      </c>
      <c r="M58" s="11" t="s">
        <v>53</v>
      </c>
      <c r="N58" s="14" t="s">
        <v>248</v>
      </c>
      <c r="O58" s="47">
        <v>42608</v>
      </c>
      <c r="P58" s="15"/>
      <c r="Q58" s="16"/>
      <c r="R58" s="14" t="s">
        <v>55</v>
      </c>
      <c r="S58" s="29">
        <v>42381</v>
      </c>
      <c r="T58" s="12" t="s">
        <v>43</v>
      </c>
      <c r="U58" s="10" t="s">
        <v>56</v>
      </c>
      <c r="V58" s="24">
        <f t="shared" ref="V58" si="246">+SUM(W58:AA58)</f>
        <v>33035.54</v>
      </c>
      <c r="W58" s="24">
        <v>0</v>
      </c>
      <c r="X58" s="50">
        <v>33035.54</v>
      </c>
      <c r="Y58" s="24">
        <v>0</v>
      </c>
      <c r="Z58" s="24">
        <v>0</v>
      </c>
      <c r="AA58" s="24">
        <v>0</v>
      </c>
      <c r="AB58" s="24">
        <f t="shared" ref="AB58" si="247">+SUM(AC58:AG58)</f>
        <v>0</v>
      </c>
      <c r="AC58" s="24">
        <v>0</v>
      </c>
      <c r="AD58" s="50">
        <v>0</v>
      </c>
      <c r="AE58" s="24">
        <v>0</v>
      </c>
      <c r="AF58" s="24">
        <v>0</v>
      </c>
      <c r="AG58" s="24">
        <v>0</v>
      </c>
      <c r="AH58" s="22">
        <f t="shared" ref="AH58" si="248">+SUM(AI58:AM58)</f>
        <v>33035.54</v>
      </c>
      <c r="AI58" s="22">
        <f t="shared" ref="AI58" si="249">+W58+AC58</f>
        <v>0</v>
      </c>
      <c r="AJ58" s="37">
        <f t="shared" ref="AJ58" si="250">+X58+AD58</f>
        <v>33035.54</v>
      </c>
      <c r="AK58" s="22">
        <f t="shared" ref="AK58" si="251">+Y58+AE58</f>
        <v>0</v>
      </c>
      <c r="AL58" s="22">
        <f t="shared" ref="AL58" si="252">+Z58+AF58</f>
        <v>0</v>
      </c>
      <c r="AM58" s="22">
        <f t="shared" ref="AM58" si="253">+AA58+AG58</f>
        <v>0</v>
      </c>
      <c r="AN58" s="53">
        <v>0</v>
      </c>
      <c r="AO58" s="13">
        <f t="shared" ref="AO58" si="254">+IF(AJ58=0,"N/A",(AN58)/AJ58)</f>
        <v>0</v>
      </c>
      <c r="AP58" s="17">
        <f t="shared" ref="AP58" si="255">+AJ58-AN58</f>
        <v>33035.54</v>
      </c>
      <c r="AQ58" s="33"/>
      <c r="AR58" s="128"/>
      <c r="AS58" s="128"/>
      <c r="AT58" s="128"/>
    </row>
    <row r="59" spans="1:46" s="2" customFormat="1" ht="25.5">
      <c r="A59" s="45" t="s">
        <v>263</v>
      </c>
      <c r="B59" s="38" t="s">
        <v>64</v>
      </c>
      <c r="C59" s="38" t="s">
        <v>64</v>
      </c>
      <c r="D59" s="14" t="s">
        <v>264</v>
      </c>
      <c r="E59" s="36" t="s">
        <v>265</v>
      </c>
      <c r="F59" s="46" t="s">
        <v>214</v>
      </c>
      <c r="G59" s="14"/>
      <c r="H59" s="48" t="s">
        <v>215</v>
      </c>
      <c r="I59" s="48">
        <v>20</v>
      </c>
      <c r="J59" s="48">
        <v>77</v>
      </c>
      <c r="K59" s="48">
        <v>20</v>
      </c>
      <c r="L59" s="16" t="s">
        <v>164</v>
      </c>
      <c r="M59" s="11" t="s">
        <v>53</v>
      </c>
      <c r="N59" s="14" t="s">
        <v>266</v>
      </c>
      <c r="O59" s="47">
        <v>42608</v>
      </c>
      <c r="P59" s="15"/>
      <c r="Q59" s="16"/>
      <c r="R59" s="14" t="s">
        <v>55</v>
      </c>
      <c r="S59" s="29">
        <v>42381</v>
      </c>
      <c r="T59" s="12" t="s">
        <v>43</v>
      </c>
      <c r="U59" s="10" t="s">
        <v>56</v>
      </c>
      <c r="V59" s="24">
        <f t="shared" ref="V59" si="256">+SUM(W59:AA59)</f>
        <v>750847.92</v>
      </c>
      <c r="W59" s="24">
        <v>0</v>
      </c>
      <c r="X59" s="50">
        <v>375423.96</v>
      </c>
      <c r="Y59" s="24">
        <v>375423.96</v>
      </c>
      <c r="Z59" s="24">
        <v>0</v>
      </c>
      <c r="AA59" s="24">
        <v>0</v>
      </c>
      <c r="AB59" s="24">
        <f t="shared" ref="AB59" si="257">+SUM(AC59:AG59)</f>
        <v>0</v>
      </c>
      <c r="AC59" s="24">
        <v>0</v>
      </c>
      <c r="AD59" s="50">
        <v>0</v>
      </c>
      <c r="AE59" s="24">
        <v>0</v>
      </c>
      <c r="AF59" s="24">
        <v>0</v>
      </c>
      <c r="AG59" s="24">
        <v>0</v>
      </c>
      <c r="AH59" s="22">
        <f t="shared" ref="AH59" si="258">+SUM(AI59:AM59)</f>
        <v>750847.92</v>
      </c>
      <c r="AI59" s="22">
        <f t="shared" ref="AI59" si="259">+W59+AC59</f>
        <v>0</v>
      </c>
      <c r="AJ59" s="37">
        <f t="shared" ref="AJ59" si="260">+X59+AD59</f>
        <v>375423.96</v>
      </c>
      <c r="AK59" s="22">
        <f t="shared" ref="AK59" si="261">+Y59+AE59</f>
        <v>375423.96</v>
      </c>
      <c r="AL59" s="22">
        <f t="shared" ref="AL59" si="262">+Z59+AF59</f>
        <v>0</v>
      </c>
      <c r="AM59" s="22">
        <f t="shared" ref="AM59" si="263">+AA59+AG59</f>
        <v>0</v>
      </c>
      <c r="AN59" s="53">
        <v>0</v>
      </c>
      <c r="AO59" s="13">
        <f t="shared" ref="AO59" si="264">+IF(AJ59=0,"N/A",(AN59)/AJ59)</f>
        <v>0</v>
      </c>
      <c r="AP59" s="17">
        <f t="shared" ref="AP59" si="265">+AJ59-AN59</f>
        <v>375423.96</v>
      </c>
      <c r="AQ59" s="33"/>
      <c r="AR59" s="128"/>
      <c r="AS59" s="128"/>
      <c r="AT59" s="128"/>
    </row>
    <row r="60" spans="1:46" s="2" customFormat="1" ht="25.5">
      <c r="A60" s="45" t="s">
        <v>267</v>
      </c>
      <c r="B60" s="38" t="s">
        <v>64</v>
      </c>
      <c r="C60" s="38" t="s">
        <v>64</v>
      </c>
      <c r="D60" s="14" t="s">
        <v>268</v>
      </c>
      <c r="E60" s="36" t="s">
        <v>269</v>
      </c>
      <c r="F60" s="46" t="s">
        <v>214</v>
      </c>
      <c r="G60" s="14"/>
      <c r="H60" s="48" t="s">
        <v>215</v>
      </c>
      <c r="I60" s="48">
        <v>10</v>
      </c>
      <c r="J60" s="48">
        <v>38</v>
      </c>
      <c r="K60" s="48">
        <v>10</v>
      </c>
      <c r="L60" s="16" t="s">
        <v>164</v>
      </c>
      <c r="M60" s="11" t="s">
        <v>53</v>
      </c>
      <c r="N60" s="14" t="s">
        <v>266</v>
      </c>
      <c r="O60" s="47">
        <v>42608</v>
      </c>
      <c r="P60" s="15"/>
      <c r="Q60" s="16"/>
      <c r="R60" s="14" t="s">
        <v>55</v>
      </c>
      <c r="S60" s="29">
        <v>42381</v>
      </c>
      <c r="T60" s="12" t="s">
        <v>43</v>
      </c>
      <c r="U60" s="10" t="s">
        <v>56</v>
      </c>
      <c r="V60" s="24">
        <f t="shared" ref="V60" si="266">+SUM(W60:AA60)</f>
        <v>375423.93</v>
      </c>
      <c r="W60" s="24">
        <v>0</v>
      </c>
      <c r="X60" s="50">
        <v>187711.96</v>
      </c>
      <c r="Y60" s="24">
        <v>187711.97</v>
      </c>
      <c r="Z60" s="24">
        <v>0</v>
      </c>
      <c r="AA60" s="24">
        <v>0</v>
      </c>
      <c r="AB60" s="24">
        <f t="shared" ref="AB60" si="267">+SUM(AC60:AG60)</f>
        <v>0</v>
      </c>
      <c r="AC60" s="24">
        <v>0</v>
      </c>
      <c r="AD60" s="50">
        <v>0</v>
      </c>
      <c r="AE60" s="24">
        <v>0</v>
      </c>
      <c r="AF60" s="24">
        <v>0</v>
      </c>
      <c r="AG60" s="24">
        <v>0</v>
      </c>
      <c r="AH60" s="22">
        <f t="shared" ref="AH60" si="268">+SUM(AI60:AM60)</f>
        <v>375423.93</v>
      </c>
      <c r="AI60" s="22">
        <f t="shared" ref="AI60" si="269">+W60+AC60</f>
        <v>0</v>
      </c>
      <c r="AJ60" s="37">
        <f t="shared" ref="AJ60" si="270">+X60+AD60</f>
        <v>187711.96</v>
      </c>
      <c r="AK60" s="22">
        <f t="shared" ref="AK60" si="271">+Y60+AE60</f>
        <v>187711.97</v>
      </c>
      <c r="AL60" s="22">
        <f t="shared" ref="AL60" si="272">+Z60+AF60</f>
        <v>0</v>
      </c>
      <c r="AM60" s="22">
        <f t="shared" ref="AM60" si="273">+AA60+AG60</f>
        <v>0</v>
      </c>
      <c r="AN60" s="53">
        <v>0</v>
      </c>
      <c r="AO60" s="13">
        <f t="shared" ref="AO60" si="274">+IF(AJ60=0,"N/A",(AN60)/AJ60)</f>
        <v>0</v>
      </c>
      <c r="AP60" s="17">
        <f t="shared" ref="AP60" si="275">+AJ60-AN60</f>
        <v>187711.96</v>
      </c>
      <c r="AQ60" s="33"/>
      <c r="AR60" s="128"/>
      <c r="AS60" s="128"/>
      <c r="AT60" s="128"/>
    </row>
    <row r="61" spans="1:46" s="2" customFormat="1" ht="25.5">
      <c r="A61" s="45" t="s">
        <v>270</v>
      </c>
      <c r="B61" s="38" t="s">
        <v>271</v>
      </c>
      <c r="C61" s="38" t="s">
        <v>271</v>
      </c>
      <c r="D61" s="14" t="s">
        <v>271</v>
      </c>
      <c r="E61" s="36" t="s">
        <v>272</v>
      </c>
      <c r="F61" s="46" t="s">
        <v>147</v>
      </c>
      <c r="G61" s="14"/>
      <c r="H61" s="48" t="s">
        <v>148</v>
      </c>
      <c r="I61" s="48">
        <v>1384.14</v>
      </c>
      <c r="J61" s="48">
        <v>73</v>
      </c>
      <c r="K61" s="48">
        <v>19</v>
      </c>
      <c r="L61" s="16" t="s">
        <v>273</v>
      </c>
      <c r="M61" s="11" t="s">
        <v>80</v>
      </c>
      <c r="N61" s="14" t="s">
        <v>274</v>
      </c>
      <c r="O61" s="47">
        <v>42608</v>
      </c>
      <c r="P61" s="15"/>
      <c r="Q61" s="16"/>
      <c r="R61" s="14" t="s">
        <v>55</v>
      </c>
      <c r="S61" s="29">
        <v>42381</v>
      </c>
      <c r="T61" s="12" t="s">
        <v>43</v>
      </c>
      <c r="U61" s="10" t="s">
        <v>56</v>
      </c>
      <c r="V61" s="24">
        <f t="shared" ref="V61" si="276">+SUM(W61:AA61)</f>
        <v>815022.35000000009</v>
      </c>
      <c r="W61" s="24">
        <v>0</v>
      </c>
      <c r="X61" s="50">
        <v>264099.15000000002</v>
      </c>
      <c r="Y61" s="24">
        <v>109504</v>
      </c>
      <c r="Z61" s="24">
        <v>0</v>
      </c>
      <c r="AA61" s="24">
        <v>441419.2</v>
      </c>
      <c r="AB61" s="24">
        <f t="shared" ref="AB61" si="277">+SUM(AC61:AG61)</f>
        <v>0</v>
      </c>
      <c r="AC61" s="24">
        <v>0</v>
      </c>
      <c r="AD61" s="50">
        <v>0</v>
      </c>
      <c r="AE61" s="24">
        <v>0</v>
      </c>
      <c r="AF61" s="24">
        <v>0</v>
      </c>
      <c r="AG61" s="24">
        <v>0</v>
      </c>
      <c r="AH61" s="22">
        <f t="shared" ref="AH61" si="278">+SUM(AI61:AM61)</f>
        <v>815022.35000000009</v>
      </c>
      <c r="AI61" s="22">
        <f t="shared" ref="AI61" si="279">+W61+AC61</f>
        <v>0</v>
      </c>
      <c r="AJ61" s="37">
        <f t="shared" ref="AJ61" si="280">+X61+AD61</f>
        <v>264099.15000000002</v>
      </c>
      <c r="AK61" s="22">
        <f t="shared" ref="AK61" si="281">+Y61+AE61</f>
        <v>109504</v>
      </c>
      <c r="AL61" s="22">
        <f t="shared" ref="AL61" si="282">+Z61+AF61</f>
        <v>0</v>
      </c>
      <c r="AM61" s="22">
        <f t="shared" ref="AM61" si="283">+AA61+AG61</f>
        <v>441419.2</v>
      </c>
      <c r="AN61" s="53">
        <v>0</v>
      </c>
      <c r="AO61" s="13">
        <f t="shared" ref="AO61" si="284">+IF(AJ61=0,"N/A",(AN61)/AJ61)</f>
        <v>0</v>
      </c>
      <c r="AP61" s="17">
        <f t="shared" ref="AP61" si="285">+AJ61-AN61</f>
        <v>264099.15000000002</v>
      </c>
      <c r="AQ61" s="33"/>
      <c r="AR61" s="128"/>
      <c r="AS61" s="128"/>
      <c r="AT61" s="128"/>
    </row>
    <row r="62" spans="1:46" s="2" customFormat="1" ht="25.5">
      <c r="A62" s="45" t="s">
        <v>275</v>
      </c>
      <c r="B62" s="38" t="s">
        <v>271</v>
      </c>
      <c r="C62" s="38" t="s">
        <v>271</v>
      </c>
      <c r="D62" s="14" t="s">
        <v>271</v>
      </c>
      <c r="E62" s="36" t="s">
        <v>276</v>
      </c>
      <c r="F62" s="46" t="s">
        <v>147</v>
      </c>
      <c r="G62" s="14"/>
      <c r="H62" s="48" t="s">
        <v>148</v>
      </c>
      <c r="I62" s="48">
        <v>1611</v>
      </c>
      <c r="J62" s="48">
        <v>58</v>
      </c>
      <c r="K62" s="48">
        <v>15</v>
      </c>
      <c r="L62" s="16" t="s">
        <v>273</v>
      </c>
      <c r="M62" s="11" t="s">
        <v>80</v>
      </c>
      <c r="N62" s="14" t="s">
        <v>277</v>
      </c>
      <c r="O62" s="47">
        <v>42608</v>
      </c>
      <c r="P62" s="15"/>
      <c r="Q62" s="16"/>
      <c r="R62" s="14" t="s">
        <v>55</v>
      </c>
      <c r="S62" s="29">
        <v>42381</v>
      </c>
      <c r="T62" s="12" t="s">
        <v>43</v>
      </c>
      <c r="U62" s="10" t="s">
        <v>56</v>
      </c>
      <c r="V62" s="24">
        <f t="shared" ref="V62" si="286">+SUM(W62:AA62)</f>
        <v>976457.77</v>
      </c>
      <c r="W62" s="24">
        <v>0</v>
      </c>
      <c r="X62" s="50">
        <v>305364.64</v>
      </c>
      <c r="Y62" s="24">
        <v>127600</v>
      </c>
      <c r="Z62" s="24">
        <v>0</v>
      </c>
      <c r="AA62" s="24">
        <v>543493.13</v>
      </c>
      <c r="AB62" s="24">
        <f t="shared" ref="AB62" si="287">+SUM(AC62:AG62)</f>
        <v>0</v>
      </c>
      <c r="AC62" s="24">
        <v>0</v>
      </c>
      <c r="AD62" s="50">
        <v>0</v>
      </c>
      <c r="AE62" s="24">
        <v>0</v>
      </c>
      <c r="AF62" s="24">
        <v>0</v>
      </c>
      <c r="AG62" s="24">
        <v>0</v>
      </c>
      <c r="AH62" s="22">
        <f t="shared" ref="AH62" si="288">+SUM(AI62:AM62)</f>
        <v>976457.77</v>
      </c>
      <c r="AI62" s="22">
        <f t="shared" ref="AI62" si="289">+W62+AC62</f>
        <v>0</v>
      </c>
      <c r="AJ62" s="37">
        <f t="shared" ref="AJ62" si="290">+X62+AD62</f>
        <v>305364.64</v>
      </c>
      <c r="AK62" s="22">
        <f t="shared" ref="AK62" si="291">+Y62+AE62</f>
        <v>127600</v>
      </c>
      <c r="AL62" s="22">
        <f t="shared" ref="AL62" si="292">+Z62+AF62</f>
        <v>0</v>
      </c>
      <c r="AM62" s="22">
        <f t="shared" ref="AM62" si="293">+AA62+AG62</f>
        <v>543493.13</v>
      </c>
      <c r="AN62" s="53">
        <v>0</v>
      </c>
      <c r="AO62" s="13">
        <f t="shared" ref="AO62" si="294">+IF(AJ62=0,"N/A",(AN62)/AJ62)</f>
        <v>0</v>
      </c>
      <c r="AP62" s="17">
        <f t="shared" ref="AP62" si="295">+AJ62-AN62</f>
        <v>305364.64</v>
      </c>
      <c r="AQ62" s="33"/>
      <c r="AR62" s="128"/>
      <c r="AS62" s="128"/>
      <c r="AT62" s="128"/>
    </row>
    <row r="63" spans="1:46" s="2" customFormat="1" ht="25.5">
      <c r="A63" s="45" t="s">
        <v>278</v>
      </c>
      <c r="B63" s="38" t="s">
        <v>271</v>
      </c>
      <c r="C63" s="38" t="s">
        <v>271</v>
      </c>
      <c r="D63" s="14" t="s">
        <v>271</v>
      </c>
      <c r="E63" s="36" t="s">
        <v>279</v>
      </c>
      <c r="F63" s="46" t="s">
        <v>147</v>
      </c>
      <c r="G63" s="14"/>
      <c r="H63" s="48" t="s">
        <v>148</v>
      </c>
      <c r="I63" s="48">
        <v>1562.75</v>
      </c>
      <c r="J63" s="48">
        <v>69</v>
      </c>
      <c r="K63" s="48">
        <v>18</v>
      </c>
      <c r="L63" s="16" t="s">
        <v>273</v>
      </c>
      <c r="M63" s="11" t="s">
        <v>80</v>
      </c>
      <c r="N63" s="14" t="s">
        <v>280</v>
      </c>
      <c r="O63" s="47">
        <v>42608</v>
      </c>
      <c r="P63" s="15"/>
      <c r="Q63" s="16"/>
      <c r="R63" s="14" t="s">
        <v>55</v>
      </c>
      <c r="S63" s="29">
        <v>42381</v>
      </c>
      <c r="T63" s="12" t="s">
        <v>43</v>
      </c>
      <c r="U63" s="10" t="s">
        <v>56</v>
      </c>
      <c r="V63" s="24">
        <f t="shared" ref="V63" si="296">+SUM(W63:AA63)</f>
        <v>919928.21</v>
      </c>
      <c r="W63" s="24">
        <v>0</v>
      </c>
      <c r="X63" s="50">
        <v>294360.51</v>
      </c>
      <c r="Y63" s="24">
        <v>123888</v>
      </c>
      <c r="Z63" s="24">
        <v>0</v>
      </c>
      <c r="AA63" s="24">
        <v>501679.7</v>
      </c>
      <c r="AB63" s="24">
        <f t="shared" ref="AB63" si="297">+SUM(AC63:AG63)</f>
        <v>0</v>
      </c>
      <c r="AC63" s="24">
        <v>0</v>
      </c>
      <c r="AD63" s="50">
        <v>0</v>
      </c>
      <c r="AE63" s="24">
        <v>0</v>
      </c>
      <c r="AF63" s="24">
        <v>0</v>
      </c>
      <c r="AG63" s="24">
        <v>0</v>
      </c>
      <c r="AH63" s="22">
        <f t="shared" ref="AH63" si="298">+SUM(AI63:AM63)</f>
        <v>919928.21</v>
      </c>
      <c r="AI63" s="22">
        <f t="shared" ref="AI63" si="299">+W63+AC63</f>
        <v>0</v>
      </c>
      <c r="AJ63" s="37">
        <f t="shared" ref="AJ63" si="300">+X63+AD63</f>
        <v>294360.51</v>
      </c>
      <c r="AK63" s="22">
        <f t="shared" ref="AK63" si="301">+Y63+AE63</f>
        <v>123888</v>
      </c>
      <c r="AL63" s="22">
        <f t="shared" ref="AL63" si="302">+Z63+AF63</f>
        <v>0</v>
      </c>
      <c r="AM63" s="22">
        <f t="shared" ref="AM63" si="303">+AA63+AG63</f>
        <v>501679.7</v>
      </c>
      <c r="AN63" s="53">
        <v>0</v>
      </c>
      <c r="AO63" s="13">
        <f t="shared" ref="AO63" si="304">+IF(AJ63=0,"N/A",(AN63)/AJ63)</f>
        <v>0</v>
      </c>
      <c r="AP63" s="17">
        <f t="shared" ref="AP63" si="305">+AJ63-AN63</f>
        <v>294360.51</v>
      </c>
      <c r="AQ63" s="33"/>
      <c r="AR63" s="128"/>
      <c r="AS63" s="128"/>
      <c r="AT63" s="128"/>
    </row>
    <row r="64" spans="1:46" s="2" customFormat="1" ht="25.5">
      <c r="A64" s="45" t="s">
        <v>281</v>
      </c>
      <c r="B64" s="38" t="s">
        <v>271</v>
      </c>
      <c r="C64" s="38" t="s">
        <v>271</v>
      </c>
      <c r="D64" s="14" t="s">
        <v>271</v>
      </c>
      <c r="E64" s="36" t="s">
        <v>282</v>
      </c>
      <c r="F64" s="46" t="s">
        <v>147</v>
      </c>
      <c r="G64" s="14"/>
      <c r="H64" s="48" t="s">
        <v>148</v>
      </c>
      <c r="I64" s="48">
        <v>2778.36</v>
      </c>
      <c r="J64" s="48">
        <v>119</v>
      </c>
      <c r="K64" s="48">
        <v>31</v>
      </c>
      <c r="L64" s="16" t="s">
        <v>273</v>
      </c>
      <c r="M64" s="11" t="s">
        <v>80</v>
      </c>
      <c r="N64" s="14" t="s">
        <v>283</v>
      </c>
      <c r="O64" s="47">
        <v>42608</v>
      </c>
      <c r="P64" s="15"/>
      <c r="Q64" s="16"/>
      <c r="R64" s="14" t="s">
        <v>55</v>
      </c>
      <c r="S64" s="29">
        <v>42381</v>
      </c>
      <c r="T64" s="12" t="s">
        <v>43</v>
      </c>
      <c r="U64" s="10" t="s">
        <v>56</v>
      </c>
      <c r="V64" s="24">
        <f t="shared" ref="V64" si="306">+SUM(W64:AA64)</f>
        <v>1494279.8900000001</v>
      </c>
      <c r="W64" s="24">
        <v>0</v>
      </c>
      <c r="X64" s="50">
        <v>528198.30000000005</v>
      </c>
      <c r="Y64" s="24">
        <v>220400</v>
      </c>
      <c r="Z64" s="24">
        <v>0</v>
      </c>
      <c r="AA64" s="24">
        <v>745681.59</v>
      </c>
      <c r="AB64" s="24">
        <f t="shared" ref="AB64" si="307">+SUM(AC64:AG64)</f>
        <v>0</v>
      </c>
      <c r="AC64" s="24">
        <v>0</v>
      </c>
      <c r="AD64" s="50">
        <v>0</v>
      </c>
      <c r="AE64" s="24">
        <v>0</v>
      </c>
      <c r="AF64" s="24">
        <v>0</v>
      </c>
      <c r="AG64" s="24">
        <v>0</v>
      </c>
      <c r="AH64" s="22">
        <f t="shared" ref="AH64" si="308">+SUM(AI64:AM64)</f>
        <v>1494279.8900000001</v>
      </c>
      <c r="AI64" s="22">
        <f t="shared" ref="AI64" si="309">+W64+AC64</f>
        <v>0</v>
      </c>
      <c r="AJ64" s="37">
        <f t="shared" ref="AJ64" si="310">+X64+AD64</f>
        <v>528198.30000000005</v>
      </c>
      <c r="AK64" s="22">
        <f t="shared" ref="AK64" si="311">+Y64+AE64</f>
        <v>220400</v>
      </c>
      <c r="AL64" s="22">
        <f t="shared" ref="AL64" si="312">+Z64+AF64</f>
        <v>0</v>
      </c>
      <c r="AM64" s="22">
        <f t="shared" ref="AM64" si="313">+AA64+AG64</f>
        <v>745681.59</v>
      </c>
      <c r="AN64" s="53">
        <v>0</v>
      </c>
      <c r="AO64" s="13">
        <f t="shared" ref="AO64" si="314">+IF(AJ64=0,"N/A",(AN64)/AJ64)</f>
        <v>0</v>
      </c>
      <c r="AP64" s="17">
        <f t="shared" ref="AP64" si="315">+AJ64-AN64</f>
        <v>528198.30000000005</v>
      </c>
      <c r="AQ64" s="33"/>
      <c r="AR64" s="128"/>
      <c r="AS64" s="128"/>
      <c r="AT64" s="128"/>
    </row>
    <row r="65" spans="1:46" s="2" customFormat="1" ht="25.5">
      <c r="A65" s="45" t="s">
        <v>284</v>
      </c>
      <c r="B65" s="38" t="s">
        <v>121</v>
      </c>
      <c r="C65" s="38" t="s">
        <v>121</v>
      </c>
      <c r="D65" s="14" t="s">
        <v>285</v>
      </c>
      <c r="E65" s="36" t="s">
        <v>286</v>
      </c>
      <c r="F65" s="46" t="s">
        <v>162</v>
      </c>
      <c r="G65" s="14"/>
      <c r="H65" s="48" t="s">
        <v>163</v>
      </c>
      <c r="I65" s="48">
        <v>1</v>
      </c>
      <c r="J65" s="48">
        <v>5</v>
      </c>
      <c r="K65" s="48">
        <v>1</v>
      </c>
      <c r="L65" s="16" t="s">
        <v>273</v>
      </c>
      <c r="M65" s="11" t="s">
        <v>53</v>
      </c>
      <c r="N65" s="14" t="s">
        <v>287</v>
      </c>
      <c r="O65" s="47">
        <v>42608</v>
      </c>
      <c r="P65" s="15"/>
      <c r="Q65" s="16"/>
      <c r="R65" s="14" t="s">
        <v>55</v>
      </c>
      <c r="S65" s="29">
        <v>42381</v>
      </c>
      <c r="T65" s="12" t="s">
        <v>43</v>
      </c>
      <c r="U65" s="10" t="s">
        <v>56</v>
      </c>
      <c r="V65" s="24">
        <f t="shared" ref="V65" si="316">+SUM(W65:AA65)</f>
        <v>32349.82</v>
      </c>
      <c r="W65" s="24">
        <v>0</v>
      </c>
      <c r="X65" s="50">
        <v>16174.91</v>
      </c>
      <c r="Y65" s="24">
        <v>16174.91</v>
      </c>
      <c r="Z65" s="24">
        <v>0</v>
      </c>
      <c r="AA65" s="24">
        <v>0</v>
      </c>
      <c r="AB65" s="24">
        <f t="shared" ref="AB65" si="317">+SUM(AC65:AG65)</f>
        <v>0</v>
      </c>
      <c r="AC65" s="24">
        <v>0</v>
      </c>
      <c r="AD65" s="50">
        <v>0</v>
      </c>
      <c r="AE65" s="24">
        <v>0</v>
      </c>
      <c r="AF65" s="24">
        <v>0</v>
      </c>
      <c r="AG65" s="24">
        <v>0</v>
      </c>
      <c r="AH65" s="22">
        <f t="shared" ref="AH65" si="318">+SUM(AI65:AM65)</f>
        <v>32349.82</v>
      </c>
      <c r="AI65" s="22">
        <f t="shared" ref="AI65" si="319">+W65+AC65</f>
        <v>0</v>
      </c>
      <c r="AJ65" s="37">
        <f t="shared" ref="AJ65" si="320">+X65+AD65</f>
        <v>16174.91</v>
      </c>
      <c r="AK65" s="22">
        <f t="shared" ref="AK65" si="321">+Y65+AE65</f>
        <v>16174.91</v>
      </c>
      <c r="AL65" s="22">
        <f t="shared" ref="AL65" si="322">+Z65+AF65</f>
        <v>0</v>
      </c>
      <c r="AM65" s="22">
        <f t="shared" ref="AM65" si="323">+AA65+AG65</f>
        <v>0</v>
      </c>
      <c r="AN65" s="53">
        <v>0</v>
      </c>
      <c r="AO65" s="13">
        <f t="shared" ref="AO65" si="324">+IF(AJ65=0,"N/A",(AN65)/AJ65)</f>
        <v>0</v>
      </c>
      <c r="AP65" s="17">
        <f t="shared" ref="AP65" si="325">+AJ65-AN65</f>
        <v>16174.91</v>
      </c>
      <c r="AQ65" s="33"/>
      <c r="AR65" s="128"/>
      <c r="AS65" s="128"/>
      <c r="AT65" s="128"/>
    </row>
    <row r="66" spans="1:46" s="2" customFormat="1" ht="25.5">
      <c r="A66" s="45" t="s">
        <v>288</v>
      </c>
      <c r="B66" s="38" t="s">
        <v>121</v>
      </c>
      <c r="C66" s="38" t="s">
        <v>121</v>
      </c>
      <c r="D66" s="14" t="s">
        <v>289</v>
      </c>
      <c r="E66" s="36" t="s">
        <v>290</v>
      </c>
      <c r="F66" s="46" t="s">
        <v>162</v>
      </c>
      <c r="G66" s="14"/>
      <c r="H66" s="48" t="s">
        <v>163</v>
      </c>
      <c r="I66" s="48">
        <v>1</v>
      </c>
      <c r="J66" s="48">
        <v>5</v>
      </c>
      <c r="K66" s="48">
        <v>1</v>
      </c>
      <c r="L66" s="16" t="s">
        <v>273</v>
      </c>
      <c r="M66" s="11" t="s">
        <v>53</v>
      </c>
      <c r="N66" s="14" t="s">
        <v>287</v>
      </c>
      <c r="O66" s="47">
        <v>42608</v>
      </c>
      <c r="P66" s="15"/>
      <c r="Q66" s="16"/>
      <c r="R66" s="14" t="s">
        <v>55</v>
      </c>
      <c r="S66" s="29">
        <v>42381</v>
      </c>
      <c r="T66" s="12" t="s">
        <v>43</v>
      </c>
      <c r="U66" s="10" t="s">
        <v>56</v>
      </c>
      <c r="V66" s="24">
        <f t="shared" ref="V66" si="326">+SUM(W66:AA66)</f>
        <v>32349.82</v>
      </c>
      <c r="W66" s="24">
        <v>0</v>
      </c>
      <c r="X66" s="50">
        <v>16174.91</v>
      </c>
      <c r="Y66" s="24">
        <v>16174.91</v>
      </c>
      <c r="Z66" s="24">
        <v>0</v>
      </c>
      <c r="AA66" s="24">
        <v>0</v>
      </c>
      <c r="AB66" s="24">
        <f t="shared" ref="AB66" si="327">+SUM(AC66:AG66)</f>
        <v>0</v>
      </c>
      <c r="AC66" s="24">
        <v>0</v>
      </c>
      <c r="AD66" s="50">
        <v>0</v>
      </c>
      <c r="AE66" s="24">
        <v>0</v>
      </c>
      <c r="AF66" s="24">
        <v>0</v>
      </c>
      <c r="AG66" s="24">
        <v>0</v>
      </c>
      <c r="AH66" s="22">
        <f t="shared" ref="AH66" si="328">+SUM(AI66:AM66)</f>
        <v>32349.82</v>
      </c>
      <c r="AI66" s="22">
        <f t="shared" ref="AI66" si="329">+W66+AC66</f>
        <v>0</v>
      </c>
      <c r="AJ66" s="37">
        <f t="shared" ref="AJ66" si="330">+X66+AD66</f>
        <v>16174.91</v>
      </c>
      <c r="AK66" s="22">
        <f t="shared" ref="AK66" si="331">+Y66+AE66</f>
        <v>16174.91</v>
      </c>
      <c r="AL66" s="22">
        <f t="shared" ref="AL66" si="332">+Z66+AF66</f>
        <v>0</v>
      </c>
      <c r="AM66" s="22">
        <f t="shared" ref="AM66" si="333">+AA66+AG66</f>
        <v>0</v>
      </c>
      <c r="AN66" s="53">
        <v>0</v>
      </c>
      <c r="AO66" s="13">
        <f t="shared" ref="AO66" si="334">+IF(AJ66=0,"N/A",(AN66)/AJ66)</f>
        <v>0</v>
      </c>
      <c r="AP66" s="17">
        <f t="shared" ref="AP66" si="335">+AJ66-AN66</f>
        <v>16174.91</v>
      </c>
      <c r="AQ66" s="33"/>
      <c r="AR66" s="128"/>
      <c r="AS66" s="128"/>
      <c r="AT66" s="128"/>
    </row>
    <row r="67" spans="1:46" s="2" customFormat="1" ht="25.5">
      <c r="A67" s="45" t="s">
        <v>291</v>
      </c>
      <c r="B67" s="38" t="s">
        <v>121</v>
      </c>
      <c r="C67" s="38" t="s">
        <v>121</v>
      </c>
      <c r="D67" s="14" t="s">
        <v>292</v>
      </c>
      <c r="E67" s="36" t="s">
        <v>293</v>
      </c>
      <c r="F67" s="46" t="s">
        <v>162</v>
      </c>
      <c r="G67" s="14"/>
      <c r="H67" s="48" t="s">
        <v>163</v>
      </c>
      <c r="I67" s="48">
        <v>1</v>
      </c>
      <c r="J67" s="48">
        <v>5</v>
      </c>
      <c r="K67" s="48">
        <v>1</v>
      </c>
      <c r="L67" s="16" t="s">
        <v>273</v>
      </c>
      <c r="M67" s="11" t="s">
        <v>53</v>
      </c>
      <c r="N67" s="14" t="s">
        <v>287</v>
      </c>
      <c r="O67" s="47">
        <v>42608</v>
      </c>
      <c r="P67" s="15"/>
      <c r="Q67" s="16"/>
      <c r="R67" s="14" t="s">
        <v>55</v>
      </c>
      <c r="S67" s="29">
        <v>42381</v>
      </c>
      <c r="T67" s="12" t="s">
        <v>43</v>
      </c>
      <c r="U67" s="10" t="s">
        <v>56</v>
      </c>
      <c r="V67" s="24">
        <f t="shared" ref="V67" si="336">+SUM(W67:AA67)</f>
        <v>32349.82</v>
      </c>
      <c r="W67" s="24">
        <v>0</v>
      </c>
      <c r="X67" s="50">
        <v>16174.91</v>
      </c>
      <c r="Y67" s="24">
        <v>16174.91</v>
      </c>
      <c r="Z67" s="24">
        <v>0</v>
      </c>
      <c r="AA67" s="24">
        <v>0</v>
      </c>
      <c r="AB67" s="24">
        <f t="shared" ref="AB67" si="337">+SUM(AC67:AG67)</f>
        <v>0</v>
      </c>
      <c r="AC67" s="24">
        <v>0</v>
      </c>
      <c r="AD67" s="50">
        <v>0</v>
      </c>
      <c r="AE67" s="24">
        <v>0</v>
      </c>
      <c r="AF67" s="24">
        <v>0</v>
      </c>
      <c r="AG67" s="24">
        <v>0</v>
      </c>
      <c r="AH67" s="22">
        <f t="shared" ref="AH67" si="338">+SUM(AI67:AM67)</f>
        <v>32349.82</v>
      </c>
      <c r="AI67" s="22">
        <f t="shared" ref="AI67" si="339">+W67+AC67</f>
        <v>0</v>
      </c>
      <c r="AJ67" s="37">
        <f t="shared" ref="AJ67" si="340">+X67+AD67</f>
        <v>16174.91</v>
      </c>
      <c r="AK67" s="22">
        <f t="shared" ref="AK67" si="341">+Y67+AE67</f>
        <v>16174.91</v>
      </c>
      <c r="AL67" s="22">
        <f t="shared" ref="AL67" si="342">+Z67+AF67</f>
        <v>0</v>
      </c>
      <c r="AM67" s="22">
        <f t="shared" ref="AM67" si="343">+AA67+AG67</f>
        <v>0</v>
      </c>
      <c r="AN67" s="53">
        <v>0</v>
      </c>
      <c r="AO67" s="13">
        <f t="shared" ref="AO67" si="344">+IF(AJ67=0,"N/A",(AN67)/AJ67)</f>
        <v>0</v>
      </c>
      <c r="AP67" s="17">
        <f t="shared" ref="AP67" si="345">+AJ67-AN67</f>
        <v>16174.91</v>
      </c>
      <c r="AQ67" s="33"/>
      <c r="AR67" s="128"/>
      <c r="AS67" s="128"/>
      <c r="AT67" s="128"/>
    </row>
    <row r="68" spans="1:46" s="2" customFormat="1" ht="25.5">
      <c r="A68" s="45" t="s">
        <v>294</v>
      </c>
      <c r="B68" s="38" t="s">
        <v>121</v>
      </c>
      <c r="C68" s="38" t="s">
        <v>121</v>
      </c>
      <c r="D68" s="14" t="s">
        <v>295</v>
      </c>
      <c r="E68" s="36" t="s">
        <v>296</v>
      </c>
      <c r="F68" s="46" t="s">
        <v>162</v>
      </c>
      <c r="G68" s="14"/>
      <c r="H68" s="48" t="s">
        <v>163</v>
      </c>
      <c r="I68" s="48">
        <v>5</v>
      </c>
      <c r="J68" s="48">
        <v>25</v>
      </c>
      <c r="K68" s="48">
        <v>5</v>
      </c>
      <c r="L68" s="16" t="s">
        <v>273</v>
      </c>
      <c r="M68" s="11" t="s">
        <v>53</v>
      </c>
      <c r="N68" s="14" t="s">
        <v>287</v>
      </c>
      <c r="O68" s="47">
        <v>42608</v>
      </c>
      <c r="P68" s="15"/>
      <c r="Q68" s="16"/>
      <c r="R68" s="14" t="s">
        <v>55</v>
      </c>
      <c r="S68" s="29">
        <v>42381</v>
      </c>
      <c r="T68" s="12" t="s">
        <v>43</v>
      </c>
      <c r="U68" s="10" t="s">
        <v>56</v>
      </c>
      <c r="V68" s="24">
        <f t="shared" ref="V68" si="346">+SUM(W68:AA68)</f>
        <v>161749.14000000001</v>
      </c>
      <c r="W68" s="24">
        <v>0</v>
      </c>
      <c r="X68" s="50">
        <v>80874.570000000007</v>
      </c>
      <c r="Y68" s="24">
        <v>80874.570000000007</v>
      </c>
      <c r="Z68" s="24">
        <v>0</v>
      </c>
      <c r="AA68" s="24">
        <v>0</v>
      </c>
      <c r="AB68" s="24">
        <f t="shared" ref="AB68" si="347">+SUM(AC68:AG68)</f>
        <v>0</v>
      </c>
      <c r="AC68" s="24">
        <v>0</v>
      </c>
      <c r="AD68" s="50">
        <v>0</v>
      </c>
      <c r="AE68" s="24">
        <v>0</v>
      </c>
      <c r="AF68" s="24">
        <v>0</v>
      </c>
      <c r="AG68" s="24">
        <v>0</v>
      </c>
      <c r="AH68" s="22">
        <f t="shared" ref="AH68" si="348">+SUM(AI68:AM68)</f>
        <v>161749.14000000001</v>
      </c>
      <c r="AI68" s="22">
        <f t="shared" ref="AI68" si="349">+W68+AC68</f>
        <v>0</v>
      </c>
      <c r="AJ68" s="37">
        <f t="shared" ref="AJ68" si="350">+X68+AD68</f>
        <v>80874.570000000007</v>
      </c>
      <c r="AK68" s="22">
        <f t="shared" ref="AK68" si="351">+Y68+AE68</f>
        <v>80874.570000000007</v>
      </c>
      <c r="AL68" s="22">
        <f t="shared" ref="AL68" si="352">+Z68+AF68</f>
        <v>0</v>
      </c>
      <c r="AM68" s="22">
        <f t="shared" ref="AM68" si="353">+AA68+AG68</f>
        <v>0</v>
      </c>
      <c r="AN68" s="53">
        <v>0</v>
      </c>
      <c r="AO68" s="13">
        <f t="shared" ref="AO68" si="354">+IF(AJ68=0,"N/A",(AN68)/AJ68)</f>
        <v>0</v>
      </c>
      <c r="AP68" s="17">
        <f t="shared" ref="AP68" si="355">+AJ68-AN68</f>
        <v>80874.570000000007</v>
      </c>
      <c r="AQ68" s="33"/>
      <c r="AR68" s="128"/>
      <c r="AS68" s="128"/>
      <c r="AT68" s="128"/>
    </row>
    <row r="69" spans="1:46" s="2" customFormat="1" ht="25.5">
      <c r="A69" s="45" t="s">
        <v>297</v>
      </c>
      <c r="B69" s="38" t="s">
        <v>121</v>
      </c>
      <c r="C69" s="38" t="s">
        <v>121</v>
      </c>
      <c r="D69" s="14" t="s">
        <v>298</v>
      </c>
      <c r="E69" s="36" t="s">
        <v>299</v>
      </c>
      <c r="F69" s="46" t="s">
        <v>162</v>
      </c>
      <c r="G69" s="14"/>
      <c r="H69" s="48" t="s">
        <v>163</v>
      </c>
      <c r="I69" s="48">
        <v>1</v>
      </c>
      <c r="J69" s="48">
        <v>5</v>
      </c>
      <c r="K69" s="48">
        <v>1</v>
      </c>
      <c r="L69" s="16" t="s">
        <v>273</v>
      </c>
      <c r="M69" s="11" t="s">
        <v>53</v>
      </c>
      <c r="N69" s="14" t="s">
        <v>287</v>
      </c>
      <c r="O69" s="47">
        <v>42608</v>
      </c>
      <c r="P69" s="15"/>
      <c r="Q69" s="16"/>
      <c r="R69" s="14" t="s">
        <v>55</v>
      </c>
      <c r="S69" s="29">
        <v>42381</v>
      </c>
      <c r="T69" s="12" t="s">
        <v>43</v>
      </c>
      <c r="U69" s="10" t="s">
        <v>56</v>
      </c>
      <c r="V69" s="24">
        <f t="shared" ref="V69" si="356">+SUM(W69:AA69)</f>
        <v>32349.82</v>
      </c>
      <c r="W69" s="24">
        <v>0</v>
      </c>
      <c r="X69" s="50">
        <v>16174.91</v>
      </c>
      <c r="Y69" s="24">
        <v>16174.91</v>
      </c>
      <c r="Z69" s="24">
        <v>0</v>
      </c>
      <c r="AA69" s="24">
        <v>0</v>
      </c>
      <c r="AB69" s="24">
        <f t="shared" ref="AB69" si="357">+SUM(AC69:AG69)</f>
        <v>0</v>
      </c>
      <c r="AC69" s="24">
        <v>0</v>
      </c>
      <c r="AD69" s="50">
        <v>0</v>
      </c>
      <c r="AE69" s="24">
        <v>0</v>
      </c>
      <c r="AF69" s="24">
        <v>0</v>
      </c>
      <c r="AG69" s="24">
        <v>0</v>
      </c>
      <c r="AH69" s="22">
        <f t="shared" ref="AH69" si="358">+SUM(AI69:AM69)</f>
        <v>32349.82</v>
      </c>
      <c r="AI69" s="22">
        <f t="shared" ref="AI69" si="359">+W69+AC69</f>
        <v>0</v>
      </c>
      <c r="AJ69" s="37">
        <f t="shared" ref="AJ69" si="360">+X69+AD69</f>
        <v>16174.91</v>
      </c>
      <c r="AK69" s="22">
        <f t="shared" ref="AK69" si="361">+Y69+AE69</f>
        <v>16174.91</v>
      </c>
      <c r="AL69" s="22">
        <f t="shared" ref="AL69" si="362">+Z69+AF69</f>
        <v>0</v>
      </c>
      <c r="AM69" s="22">
        <f t="shared" ref="AM69" si="363">+AA69+AG69</f>
        <v>0</v>
      </c>
      <c r="AN69" s="53">
        <v>0</v>
      </c>
      <c r="AO69" s="13">
        <f t="shared" ref="AO69" si="364">+IF(AJ69=0,"N/A",(AN69)/AJ69)</f>
        <v>0</v>
      </c>
      <c r="AP69" s="17">
        <f t="shared" ref="AP69" si="365">+AJ69-AN69</f>
        <v>16174.91</v>
      </c>
      <c r="AQ69" s="33"/>
      <c r="AR69" s="128"/>
      <c r="AS69" s="128"/>
      <c r="AT69" s="128"/>
    </row>
    <row r="70" spans="1:46" s="2" customFormat="1" ht="25.5">
      <c r="A70" s="45" t="s">
        <v>300</v>
      </c>
      <c r="B70" s="38" t="s">
        <v>121</v>
      </c>
      <c r="C70" s="38" t="s">
        <v>121</v>
      </c>
      <c r="D70" s="14" t="s">
        <v>301</v>
      </c>
      <c r="E70" s="36" t="s">
        <v>302</v>
      </c>
      <c r="F70" s="46" t="s">
        <v>162</v>
      </c>
      <c r="G70" s="14"/>
      <c r="H70" s="48" t="s">
        <v>163</v>
      </c>
      <c r="I70" s="48">
        <v>3</v>
      </c>
      <c r="J70" s="48">
        <v>16</v>
      </c>
      <c r="K70" s="48">
        <v>3</v>
      </c>
      <c r="L70" s="16" t="s">
        <v>273</v>
      </c>
      <c r="M70" s="11" t="s">
        <v>53</v>
      </c>
      <c r="N70" s="14" t="s">
        <v>287</v>
      </c>
      <c r="O70" s="47">
        <v>42608</v>
      </c>
      <c r="P70" s="15"/>
      <c r="Q70" s="16"/>
      <c r="R70" s="14" t="s">
        <v>55</v>
      </c>
      <c r="S70" s="29">
        <v>42381</v>
      </c>
      <c r="T70" s="12" t="s">
        <v>43</v>
      </c>
      <c r="U70" s="10" t="s">
        <v>56</v>
      </c>
      <c r="V70" s="24">
        <f t="shared" ref="V70" si="366">+SUM(W70:AA70)</f>
        <v>97049.48</v>
      </c>
      <c r="W70" s="24">
        <v>0</v>
      </c>
      <c r="X70" s="50">
        <v>48524.74</v>
      </c>
      <c r="Y70" s="24">
        <v>48524.74</v>
      </c>
      <c r="Z70" s="24">
        <v>0</v>
      </c>
      <c r="AA70" s="24">
        <v>0</v>
      </c>
      <c r="AB70" s="24">
        <f t="shared" ref="AB70" si="367">+SUM(AC70:AG70)</f>
        <v>0</v>
      </c>
      <c r="AC70" s="24">
        <v>0</v>
      </c>
      <c r="AD70" s="50">
        <v>0</v>
      </c>
      <c r="AE70" s="24">
        <v>0</v>
      </c>
      <c r="AF70" s="24">
        <v>0</v>
      </c>
      <c r="AG70" s="24">
        <v>0</v>
      </c>
      <c r="AH70" s="22">
        <f t="shared" ref="AH70" si="368">+SUM(AI70:AM70)</f>
        <v>97049.48</v>
      </c>
      <c r="AI70" s="22">
        <f t="shared" ref="AI70" si="369">+W70+AC70</f>
        <v>0</v>
      </c>
      <c r="AJ70" s="37">
        <f t="shared" ref="AJ70" si="370">+X70+AD70</f>
        <v>48524.74</v>
      </c>
      <c r="AK70" s="22">
        <f t="shared" ref="AK70" si="371">+Y70+AE70</f>
        <v>48524.74</v>
      </c>
      <c r="AL70" s="22">
        <f t="shared" ref="AL70" si="372">+Z70+AF70</f>
        <v>0</v>
      </c>
      <c r="AM70" s="22">
        <f t="shared" ref="AM70" si="373">+AA70+AG70</f>
        <v>0</v>
      </c>
      <c r="AN70" s="53">
        <v>0</v>
      </c>
      <c r="AO70" s="13">
        <f t="shared" ref="AO70" si="374">+IF(AJ70=0,"N/A",(AN70)/AJ70)</f>
        <v>0</v>
      </c>
      <c r="AP70" s="17">
        <f t="shared" ref="AP70" si="375">+AJ70-AN70</f>
        <v>48524.74</v>
      </c>
      <c r="AQ70" s="33"/>
      <c r="AR70" s="128"/>
      <c r="AS70" s="128"/>
      <c r="AT70" s="128"/>
    </row>
    <row r="71" spans="1:46" s="2" customFormat="1" ht="25.5">
      <c r="A71" s="45" t="s">
        <v>303</v>
      </c>
      <c r="B71" s="38" t="s">
        <v>121</v>
      </c>
      <c r="C71" s="38" t="s">
        <v>121</v>
      </c>
      <c r="D71" s="14" t="s">
        <v>304</v>
      </c>
      <c r="E71" s="36" t="s">
        <v>305</v>
      </c>
      <c r="F71" s="46" t="s">
        <v>162</v>
      </c>
      <c r="G71" s="14"/>
      <c r="H71" s="48" t="s">
        <v>163</v>
      </c>
      <c r="I71" s="48">
        <v>4</v>
      </c>
      <c r="J71" s="48">
        <v>18</v>
      </c>
      <c r="K71" s="48">
        <v>4</v>
      </c>
      <c r="L71" s="16" t="s">
        <v>273</v>
      </c>
      <c r="M71" s="11" t="s">
        <v>53</v>
      </c>
      <c r="N71" s="14" t="s">
        <v>287</v>
      </c>
      <c r="O71" s="47">
        <v>42608</v>
      </c>
      <c r="P71" s="15"/>
      <c r="Q71" s="16"/>
      <c r="R71" s="14" t="s">
        <v>55</v>
      </c>
      <c r="S71" s="29">
        <v>42381</v>
      </c>
      <c r="T71" s="12" t="s">
        <v>43</v>
      </c>
      <c r="U71" s="10" t="s">
        <v>56</v>
      </c>
      <c r="V71" s="24">
        <f t="shared" ref="V71" si="376">+SUM(W71:AA71)</f>
        <v>129399.32</v>
      </c>
      <c r="W71" s="24">
        <v>0</v>
      </c>
      <c r="X71" s="50">
        <v>64699.66</v>
      </c>
      <c r="Y71" s="24">
        <v>64699.66</v>
      </c>
      <c r="Z71" s="24">
        <v>0</v>
      </c>
      <c r="AA71" s="24">
        <v>0</v>
      </c>
      <c r="AB71" s="24">
        <f t="shared" ref="AB71" si="377">+SUM(AC71:AG71)</f>
        <v>0</v>
      </c>
      <c r="AC71" s="24">
        <v>0</v>
      </c>
      <c r="AD71" s="50">
        <v>0</v>
      </c>
      <c r="AE71" s="24">
        <v>0</v>
      </c>
      <c r="AF71" s="24">
        <v>0</v>
      </c>
      <c r="AG71" s="24">
        <v>0</v>
      </c>
      <c r="AH71" s="22">
        <f t="shared" ref="AH71" si="378">+SUM(AI71:AM71)</f>
        <v>129399.32</v>
      </c>
      <c r="AI71" s="22">
        <f t="shared" ref="AI71" si="379">+W71+AC71</f>
        <v>0</v>
      </c>
      <c r="AJ71" s="37">
        <f t="shared" ref="AJ71" si="380">+X71+AD71</f>
        <v>64699.66</v>
      </c>
      <c r="AK71" s="22">
        <f t="shared" ref="AK71" si="381">+Y71+AE71</f>
        <v>64699.66</v>
      </c>
      <c r="AL71" s="22">
        <f t="shared" ref="AL71" si="382">+Z71+AF71</f>
        <v>0</v>
      </c>
      <c r="AM71" s="22">
        <f t="shared" ref="AM71" si="383">+AA71+AG71</f>
        <v>0</v>
      </c>
      <c r="AN71" s="53">
        <v>0</v>
      </c>
      <c r="AO71" s="13">
        <f t="shared" ref="AO71" si="384">+IF(AJ71=0,"N/A",(AN71)/AJ71)</f>
        <v>0</v>
      </c>
      <c r="AP71" s="17">
        <f t="shared" ref="AP71" si="385">+AJ71-AN71</f>
        <v>64699.66</v>
      </c>
      <c r="AQ71" s="33"/>
      <c r="AR71" s="128"/>
      <c r="AS71" s="128"/>
      <c r="AT71" s="128"/>
    </row>
    <row r="72" spans="1:46" s="2" customFormat="1" ht="38.25">
      <c r="A72" s="45" t="s">
        <v>306</v>
      </c>
      <c r="B72" s="38" t="s">
        <v>121</v>
      </c>
      <c r="C72" s="38" t="s">
        <v>121</v>
      </c>
      <c r="D72" s="14" t="s">
        <v>307</v>
      </c>
      <c r="E72" s="36" t="s">
        <v>308</v>
      </c>
      <c r="F72" s="46" t="s">
        <v>162</v>
      </c>
      <c r="G72" s="14"/>
      <c r="H72" s="48" t="s">
        <v>163</v>
      </c>
      <c r="I72" s="48">
        <v>19</v>
      </c>
      <c r="J72" s="48">
        <v>78</v>
      </c>
      <c r="K72" s="48">
        <v>19</v>
      </c>
      <c r="L72" s="16" t="s">
        <v>273</v>
      </c>
      <c r="M72" s="11" t="s">
        <v>53</v>
      </c>
      <c r="N72" s="14" t="s">
        <v>287</v>
      </c>
      <c r="O72" s="47">
        <v>42608</v>
      </c>
      <c r="P72" s="15"/>
      <c r="Q72" s="16"/>
      <c r="R72" s="14" t="s">
        <v>55</v>
      </c>
      <c r="S72" s="29">
        <v>42381</v>
      </c>
      <c r="T72" s="12" t="s">
        <v>43</v>
      </c>
      <c r="U72" s="10" t="s">
        <v>56</v>
      </c>
      <c r="V72" s="24">
        <f t="shared" ref="V72" si="386">+SUM(W72:AA72)</f>
        <v>614646.78</v>
      </c>
      <c r="W72" s="24">
        <v>0</v>
      </c>
      <c r="X72" s="50">
        <v>307323.39</v>
      </c>
      <c r="Y72" s="24">
        <v>307323.39</v>
      </c>
      <c r="Z72" s="24">
        <v>0</v>
      </c>
      <c r="AA72" s="24">
        <v>0</v>
      </c>
      <c r="AB72" s="24">
        <f t="shared" ref="AB72" si="387">+SUM(AC72:AG72)</f>
        <v>0</v>
      </c>
      <c r="AC72" s="24">
        <v>0</v>
      </c>
      <c r="AD72" s="50">
        <v>0</v>
      </c>
      <c r="AE72" s="24">
        <v>0</v>
      </c>
      <c r="AF72" s="24">
        <v>0</v>
      </c>
      <c r="AG72" s="24">
        <v>0</v>
      </c>
      <c r="AH72" s="22">
        <f t="shared" ref="AH72" si="388">+SUM(AI72:AM72)</f>
        <v>614646.78</v>
      </c>
      <c r="AI72" s="22">
        <f t="shared" ref="AI72" si="389">+W72+AC72</f>
        <v>0</v>
      </c>
      <c r="AJ72" s="37">
        <f t="shared" ref="AJ72" si="390">+X72+AD72</f>
        <v>307323.39</v>
      </c>
      <c r="AK72" s="22">
        <f t="shared" ref="AK72" si="391">+Y72+AE72</f>
        <v>307323.39</v>
      </c>
      <c r="AL72" s="22">
        <f t="shared" ref="AL72" si="392">+Z72+AF72</f>
        <v>0</v>
      </c>
      <c r="AM72" s="22">
        <f t="shared" ref="AM72" si="393">+AA72+AG72</f>
        <v>0</v>
      </c>
      <c r="AN72" s="53">
        <v>0</v>
      </c>
      <c r="AO72" s="13">
        <f t="shared" ref="AO72" si="394">+IF(AJ72=0,"N/A",(AN72)/AJ72)</f>
        <v>0</v>
      </c>
      <c r="AP72" s="17">
        <f t="shared" ref="AP72" si="395">+AJ72-AN72</f>
        <v>307323.39</v>
      </c>
      <c r="AQ72" s="33"/>
      <c r="AR72" s="128"/>
      <c r="AS72" s="128"/>
      <c r="AT72" s="128"/>
    </row>
    <row r="73" spans="1:46" s="2" customFormat="1" ht="25.5">
      <c r="A73" s="45" t="s">
        <v>309</v>
      </c>
      <c r="B73" s="38" t="s">
        <v>104</v>
      </c>
      <c r="C73" s="38" t="s">
        <v>104</v>
      </c>
      <c r="D73" s="14" t="s">
        <v>310</v>
      </c>
      <c r="E73" s="36" t="s">
        <v>311</v>
      </c>
      <c r="F73" s="46" t="s">
        <v>162</v>
      </c>
      <c r="G73" s="14"/>
      <c r="H73" s="48" t="s">
        <v>163</v>
      </c>
      <c r="I73" s="48">
        <v>1</v>
      </c>
      <c r="J73" s="48">
        <v>4</v>
      </c>
      <c r="K73" s="48">
        <v>1</v>
      </c>
      <c r="L73" s="16" t="s">
        <v>149</v>
      </c>
      <c r="M73" s="11" t="s">
        <v>53</v>
      </c>
      <c r="N73" s="14" t="s">
        <v>312</v>
      </c>
      <c r="O73" s="47">
        <v>42612</v>
      </c>
      <c r="P73" s="15"/>
      <c r="Q73" s="16"/>
      <c r="R73" s="14" t="s">
        <v>55</v>
      </c>
      <c r="S73" s="29">
        <v>42381</v>
      </c>
      <c r="T73" s="12" t="s">
        <v>43</v>
      </c>
      <c r="U73" s="10" t="s">
        <v>56</v>
      </c>
      <c r="V73" s="24">
        <f t="shared" ref="V73" si="396">+SUM(W73:AA73)</f>
        <v>32928.400000000001</v>
      </c>
      <c r="W73" s="24">
        <v>0</v>
      </c>
      <c r="X73" s="50">
        <v>16464.2</v>
      </c>
      <c r="Y73" s="24">
        <v>16464.2</v>
      </c>
      <c r="Z73" s="24">
        <v>0</v>
      </c>
      <c r="AA73" s="24">
        <v>0</v>
      </c>
      <c r="AB73" s="24">
        <f t="shared" ref="AB73" si="397">+SUM(AC73:AG73)</f>
        <v>0</v>
      </c>
      <c r="AC73" s="24">
        <v>0</v>
      </c>
      <c r="AD73" s="50">
        <v>0</v>
      </c>
      <c r="AE73" s="24">
        <v>0</v>
      </c>
      <c r="AF73" s="24">
        <v>0</v>
      </c>
      <c r="AG73" s="24">
        <v>0</v>
      </c>
      <c r="AH73" s="22">
        <f t="shared" ref="AH73" si="398">+SUM(AI73:AM73)</f>
        <v>32928.400000000001</v>
      </c>
      <c r="AI73" s="22">
        <f t="shared" ref="AI73" si="399">+W73+AC73</f>
        <v>0</v>
      </c>
      <c r="AJ73" s="37">
        <f t="shared" ref="AJ73" si="400">+X73+AD73</f>
        <v>16464.2</v>
      </c>
      <c r="AK73" s="22">
        <f t="shared" ref="AK73" si="401">+Y73+AE73</f>
        <v>16464.2</v>
      </c>
      <c r="AL73" s="22">
        <f t="shared" ref="AL73" si="402">+Z73+AF73</f>
        <v>0</v>
      </c>
      <c r="AM73" s="22">
        <f t="shared" ref="AM73" si="403">+AA73+AG73</f>
        <v>0</v>
      </c>
      <c r="AN73" s="53">
        <v>0</v>
      </c>
      <c r="AO73" s="13">
        <f t="shared" ref="AO73" si="404">+IF(AJ73=0,"N/A",(AN73)/AJ73)</f>
        <v>0</v>
      </c>
      <c r="AP73" s="17">
        <f t="shared" ref="AP73" si="405">+AJ73-AN73</f>
        <v>16464.2</v>
      </c>
      <c r="AQ73" s="33"/>
      <c r="AR73" s="128"/>
      <c r="AS73" s="128"/>
      <c r="AT73" s="128"/>
    </row>
    <row r="74" spans="1:46" s="2" customFormat="1" ht="25.5">
      <c r="A74" s="45" t="s">
        <v>313</v>
      </c>
      <c r="B74" s="38" t="s">
        <v>104</v>
      </c>
      <c r="C74" s="38" t="s">
        <v>104</v>
      </c>
      <c r="D74" s="14" t="s">
        <v>314</v>
      </c>
      <c r="E74" s="36" t="s">
        <v>315</v>
      </c>
      <c r="F74" s="46" t="s">
        <v>162</v>
      </c>
      <c r="G74" s="14"/>
      <c r="H74" s="48" t="s">
        <v>163</v>
      </c>
      <c r="I74" s="48">
        <v>1</v>
      </c>
      <c r="J74" s="48">
        <v>4</v>
      </c>
      <c r="K74" s="48">
        <v>1</v>
      </c>
      <c r="L74" s="16" t="s">
        <v>149</v>
      </c>
      <c r="M74" s="11" t="s">
        <v>53</v>
      </c>
      <c r="N74" s="14" t="s">
        <v>312</v>
      </c>
      <c r="O74" s="47">
        <v>42612</v>
      </c>
      <c r="P74" s="15"/>
      <c r="Q74" s="16"/>
      <c r="R74" s="14" t="s">
        <v>55</v>
      </c>
      <c r="S74" s="29">
        <v>42381</v>
      </c>
      <c r="T74" s="12" t="s">
        <v>43</v>
      </c>
      <c r="U74" s="10" t="s">
        <v>56</v>
      </c>
      <c r="V74" s="24">
        <f t="shared" ref="V74" si="406">+SUM(W74:AA74)</f>
        <v>32928.400000000001</v>
      </c>
      <c r="W74" s="24">
        <v>0</v>
      </c>
      <c r="X74" s="50">
        <v>16464.2</v>
      </c>
      <c r="Y74" s="24">
        <v>16464.2</v>
      </c>
      <c r="Z74" s="24">
        <v>0</v>
      </c>
      <c r="AA74" s="24">
        <v>0</v>
      </c>
      <c r="AB74" s="24">
        <f t="shared" ref="AB74" si="407">+SUM(AC74:AG74)</f>
        <v>0</v>
      </c>
      <c r="AC74" s="24">
        <v>0</v>
      </c>
      <c r="AD74" s="50">
        <v>0</v>
      </c>
      <c r="AE74" s="24">
        <v>0</v>
      </c>
      <c r="AF74" s="24">
        <v>0</v>
      </c>
      <c r="AG74" s="24">
        <v>0</v>
      </c>
      <c r="AH74" s="22">
        <f t="shared" ref="AH74" si="408">+SUM(AI74:AM74)</f>
        <v>32928.400000000001</v>
      </c>
      <c r="AI74" s="22">
        <f t="shared" ref="AI74" si="409">+W74+AC74</f>
        <v>0</v>
      </c>
      <c r="AJ74" s="37">
        <f t="shared" ref="AJ74" si="410">+X74+AD74</f>
        <v>16464.2</v>
      </c>
      <c r="AK74" s="22">
        <f t="shared" ref="AK74" si="411">+Y74+AE74</f>
        <v>16464.2</v>
      </c>
      <c r="AL74" s="22">
        <f t="shared" ref="AL74" si="412">+Z74+AF74</f>
        <v>0</v>
      </c>
      <c r="AM74" s="22">
        <f t="shared" ref="AM74" si="413">+AA74+AG74</f>
        <v>0</v>
      </c>
      <c r="AN74" s="53">
        <v>0</v>
      </c>
      <c r="AO74" s="13">
        <f t="shared" ref="AO74" si="414">+IF(AJ74=0,"N/A",(AN74)/AJ74)</f>
        <v>0</v>
      </c>
      <c r="AP74" s="17">
        <f t="shared" ref="AP74" si="415">+AJ74-AN74</f>
        <v>16464.2</v>
      </c>
      <c r="AQ74" s="33"/>
      <c r="AR74" s="128"/>
      <c r="AS74" s="128"/>
      <c r="AT74" s="128"/>
    </row>
    <row r="75" spans="1:46" s="2" customFormat="1" ht="25.5">
      <c r="A75" s="45" t="s">
        <v>316</v>
      </c>
      <c r="B75" s="38" t="s">
        <v>104</v>
      </c>
      <c r="C75" s="38" t="s">
        <v>104</v>
      </c>
      <c r="D75" s="14" t="s">
        <v>317</v>
      </c>
      <c r="E75" s="36" t="s">
        <v>318</v>
      </c>
      <c r="F75" s="46" t="s">
        <v>162</v>
      </c>
      <c r="G75" s="14"/>
      <c r="H75" s="48" t="s">
        <v>163</v>
      </c>
      <c r="I75" s="48">
        <v>6</v>
      </c>
      <c r="J75" s="48">
        <v>23</v>
      </c>
      <c r="K75" s="48">
        <v>6</v>
      </c>
      <c r="L75" s="16" t="s">
        <v>149</v>
      </c>
      <c r="M75" s="11" t="s">
        <v>53</v>
      </c>
      <c r="N75" s="14" t="s">
        <v>312</v>
      </c>
      <c r="O75" s="47">
        <v>42612</v>
      </c>
      <c r="P75" s="15"/>
      <c r="Q75" s="16"/>
      <c r="R75" s="14" t="s">
        <v>55</v>
      </c>
      <c r="S75" s="29">
        <v>42381</v>
      </c>
      <c r="T75" s="12" t="s">
        <v>43</v>
      </c>
      <c r="U75" s="10" t="s">
        <v>56</v>
      </c>
      <c r="V75" s="24">
        <f t="shared" ref="V75" si="416">+SUM(W75:AA75)</f>
        <v>197570.4</v>
      </c>
      <c r="W75" s="24">
        <v>0</v>
      </c>
      <c r="X75" s="50">
        <v>98785.2</v>
      </c>
      <c r="Y75" s="24">
        <v>98785.2</v>
      </c>
      <c r="Z75" s="24">
        <v>0</v>
      </c>
      <c r="AA75" s="24">
        <v>0</v>
      </c>
      <c r="AB75" s="24">
        <f t="shared" ref="AB75" si="417">+SUM(AC75:AG75)</f>
        <v>0</v>
      </c>
      <c r="AC75" s="24">
        <v>0</v>
      </c>
      <c r="AD75" s="50">
        <v>0</v>
      </c>
      <c r="AE75" s="24">
        <v>0</v>
      </c>
      <c r="AF75" s="24">
        <v>0</v>
      </c>
      <c r="AG75" s="24">
        <v>0</v>
      </c>
      <c r="AH75" s="22">
        <f t="shared" ref="AH75" si="418">+SUM(AI75:AM75)</f>
        <v>197570.4</v>
      </c>
      <c r="AI75" s="22">
        <f t="shared" ref="AI75" si="419">+W75+AC75</f>
        <v>0</v>
      </c>
      <c r="AJ75" s="37">
        <f t="shared" ref="AJ75" si="420">+X75+AD75</f>
        <v>98785.2</v>
      </c>
      <c r="AK75" s="22">
        <f t="shared" ref="AK75" si="421">+Y75+AE75</f>
        <v>98785.2</v>
      </c>
      <c r="AL75" s="22">
        <f t="shared" ref="AL75" si="422">+Z75+AF75</f>
        <v>0</v>
      </c>
      <c r="AM75" s="22">
        <f t="shared" ref="AM75" si="423">+AA75+AG75</f>
        <v>0</v>
      </c>
      <c r="AN75" s="53">
        <v>0</v>
      </c>
      <c r="AO75" s="13">
        <f t="shared" ref="AO75" si="424">+IF(AJ75=0,"N/A",(AN75)/AJ75)</f>
        <v>0</v>
      </c>
      <c r="AP75" s="17">
        <f t="shared" ref="AP75" si="425">+AJ75-AN75</f>
        <v>98785.2</v>
      </c>
      <c r="AQ75" s="33"/>
      <c r="AR75" s="128"/>
      <c r="AS75" s="128"/>
      <c r="AT75" s="128"/>
    </row>
    <row r="76" spans="1:46" s="2" customFormat="1" ht="38.25">
      <c r="A76" s="45" t="s">
        <v>319</v>
      </c>
      <c r="B76" s="38" t="s">
        <v>320</v>
      </c>
      <c r="C76" s="38" t="s">
        <v>320</v>
      </c>
      <c r="D76" s="14" t="s">
        <v>321</v>
      </c>
      <c r="E76" s="36" t="s">
        <v>322</v>
      </c>
      <c r="F76" s="46" t="s">
        <v>323</v>
      </c>
      <c r="G76" s="14"/>
      <c r="H76" s="48" t="s">
        <v>324</v>
      </c>
      <c r="I76" s="48">
        <v>2</v>
      </c>
      <c r="J76" s="48">
        <v>860</v>
      </c>
      <c r="K76" s="48">
        <v>0</v>
      </c>
      <c r="L76" s="16" t="s">
        <v>90</v>
      </c>
      <c r="M76" s="11" t="s">
        <v>53</v>
      </c>
      <c r="N76" s="14" t="s">
        <v>325</v>
      </c>
      <c r="O76" s="47">
        <v>42550</v>
      </c>
      <c r="P76" s="15"/>
      <c r="Q76" s="16"/>
      <c r="R76" s="14" t="s">
        <v>55</v>
      </c>
      <c r="S76" s="29">
        <v>42381</v>
      </c>
      <c r="T76" s="12" t="s">
        <v>43</v>
      </c>
      <c r="U76" s="10" t="s">
        <v>56</v>
      </c>
      <c r="V76" s="24">
        <f t="shared" ref="V76" si="426">+SUM(W76:AA76)</f>
        <v>4048170.48</v>
      </c>
      <c r="W76" s="24">
        <v>1012042.62</v>
      </c>
      <c r="X76" s="50">
        <v>1012042.62</v>
      </c>
      <c r="Y76" s="24">
        <v>1012042.62</v>
      </c>
      <c r="Z76" s="24">
        <v>1012042.62</v>
      </c>
      <c r="AA76" s="24">
        <v>0</v>
      </c>
      <c r="AB76" s="24">
        <f t="shared" ref="AB76" si="427">+SUM(AC76:AG76)</f>
        <v>0</v>
      </c>
      <c r="AC76" s="24">
        <v>0</v>
      </c>
      <c r="AD76" s="50">
        <v>0</v>
      </c>
      <c r="AE76" s="24">
        <v>0</v>
      </c>
      <c r="AF76" s="24">
        <v>0</v>
      </c>
      <c r="AG76" s="24">
        <v>0</v>
      </c>
      <c r="AH76" s="22">
        <f t="shared" ref="AH76" si="428">+SUM(AI76:AM76)</f>
        <v>4048170.48</v>
      </c>
      <c r="AI76" s="22">
        <f t="shared" ref="AI76" si="429">+W76+AC76</f>
        <v>1012042.62</v>
      </c>
      <c r="AJ76" s="37">
        <f t="shared" ref="AJ76" si="430">+X76+AD76</f>
        <v>1012042.62</v>
      </c>
      <c r="AK76" s="22">
        <f t="shared" ref="AK76" si="431">+Y76+AE76</f>
        <v>1012042.62</v>
      </c>
      <c r="AL76" s="22">
        <f t="shared" ref="AL76" si="432">+Z76+AF76</f>
        <v>1012042.62</v>
      </c>
      <c r="AM76" s="22">
        <f t="shared" ref="AM76" si="433">+AA76+AG76</f>
        <v>0</v>
      </c>
      <c r="AN76" s="53">
        <v>0</v>
      </c>
      <c r="AO76" s="13">
        <f t="shared" ref="AO76" si="434">+IF(AJ76=0,"N/A",(AN76)/AJ76)</f>
        <v>0</v>
      </c>
      <c r="AP76" s="17">
        <f t="shared" ref="AP76" si="435">+AJ76-AN76</f>
        <v>1012042.62</v>
      </c>
      <c r="AQ76" s="33"/>
      <c r="AR76" s="128"/>
      <c r="AS76" s="128"/>
      <c r="AT76" s="128"/>
    </row>
    <row r="77" spans="1:46" s="2" customFormat="1" ht="25.5">
      <c r="A77" s="45" t="s">
        <v>326</v>
      </c>
      <c r="B77" s="38" t="s">
        <v>327</v>
      </c>
      <c r="C77" s="38" t="s">
        <v>327</v>
      </c>
      <c r="D77" s="14" t="s">
        <v>327</v>
      </c>
      <c r="E77" s="36" t="s">
        <v>328</v>
      </c>
      <c r="F77" s="46" t="s">
        <v>147</v>
      </c>
      <c r="G77" s="14"/>
      <c r="H77" s="48" t="s">
        <v>148</v>
      </c>
      <c r="I77" s="48">
        <v>4620.5</v>
      </c>
      <c r="J77" s="48">
        <v>354</v>
      </c>
      <c r="K77" s="48">
        <v>92</v>
      </c>
      <c r="L77" s="16" t="s">
        <v>90</v>
      </c>
      <c r="M77" s="11" t="s">
        <v>53</v>
      </c>
      <c r="N77" s="14" t="s">
        <v>329</v>
      </c>
      <c r="O77" s="47">
        <v>42550</v>
      </c>
      <c r="P77" s="15"/>
      <c r="Q77" s="16"/>
      <c r="R77" s="14" t="s">
        <v>55</v>
      </c>
      <c r="S77" s="29">
        <v>42381</v>
      </c>
      <c r="T77" s="12" t="s">
        <v>43</v>
      </c>
      <c r="U77" s="10" t="s">
        <v>56</v>
      </c>
      <c r="V77" s="24">
        <f t="shared" ref="V77" si="436">+SUM(W77:AA77)</f>
        <v>3496827.6300000004</v>
      </c>
      <c r="W77" s="24">
        <v>874206.91</v>
      </c>
      <c r="X77" s="50">
        <v>874206.91</v>
      </c>
      <c r="Y77" s="24">
        <v>874206.9</v>
      </c>
      <c r="Z77" s="24">
        <v>874206.91</v>
      </c>
      <c r="AA77" s="24">
        <v>0</v>
      </c>
      <c r="AB77" s="24">
        <f t="shared" ref="AB77" si="437">+SUM(AC77:AG77)</f>
        <v>0</v>
      </c>
      <c r="AC77" s="24">
        <v>0</v>
      </c>
      <c r="AD77" s="50">
        <v>0</v>
      </c>
      <c r="AE77" s="24">
        <v>0</v>
      </c>
      <c r="AF77" s="24">
        <v>0</v>
      </c>
      <c r="AG77" s="24">
        <v>0</v>
      </c>
      <c r="AH77" s="22">
        <f t="shared" ref="AH77" si="438">+SUM(AI77:AM77)</f>
        <v>3496827.6300000004</v>
      </c>
      <c r="AI77" s="22">
        <f t="shared" ref="AI77" si="439">+W77+AC77</f>
        <v>874206.91</v>
      </c>
      <c r="AJ77" s="37">
        <f t="shared" ref="AJ77" si="440">+X77+AD77</f>
        <v>874206.91</v>
      </c>
      <c r="AK77" s="22">
        <f t="shared" ref="AK77" si="441">+Y77+AE77</f>
        <v>874206.9</v>
      </c>
      <c r="AL77" s="22">
        <f t="shared" ref="AL77" si="442">+Z77+AF77</f>
        <v>874206.91</v>
      </c>
      <c r="AM77" s="22">
        <f t="shared" ref="AM77" si="443">+AA77+AG77</f>
        <v>0</v>
      </c>
      <c r="AN77" s="53">
        <v>0</v>
      </c>
      <c r="AO77" s="13">
        <f t="shared" ref="AO77" si="444">+IF(AJ77=0,"N/A",(AN77)/AJ77)</f>
        <v>0</v>
      </c>
      <c r="AP77" s="17">
        <f t="shared" ref="AP77" si="445">+AJ77-AN77</f>
        <v>874206.91</v>
      </c>
      <c r="AQ77" s="33"/>
      <c r="AR77" s="128"/>
      <c r="AS77" s="128"/>
      <c r="AT77" s="128"/>
    </row>
    <row r="78" spans="1:46" s="2" customFormat="1" ht="38.25">
      <c r="A78" s="45" t="s">
        <v>330</v>
      </c>
      <c r="B78" s="38" t="s">
        <v>64</v>
      </c>
      <c r="C78" s="38" t="s">
        <v>64</v>
      </c>
      <c r="D78" s="14" t="s">
        <v>331</v>
      </c>
      <c r="E78" s="36" t="s">
        <v>332</v>
      </c>
      <c r="F78" s="46" t="s">
        <v>147</v>
      </c>
      <c r="G78" s="14"/>
      <c r="H78" s="48" t="s">
        <v>148</v>
      </c>
      <c r="I78" s="48">
        <v>3444</v>
      </c>
      <c r="J78" s="48">
        <v>264</v>
      </c>
      <c r="K78" s="48">
        <v>69</v>
      </c>
      <c r="L78" s="16" t="s">
        <v>90</v>
      </c>
      <c r="M78" s="11" t="s">
        <v>53</v>
      </c>
      <c r="N78" s="14" t="s">
        <v>333</v>
      </c>
      <c r="O78" s="47">
        <v>42550</v>
      </c>
      <c r="P78" s="15"/>
      <c r="Q78" s="16"/>
      <c r="R78" s="14" t="s">
        <v>55</v>
      </c>
      <c r="S78" s="29">
        <v>42381</v>
      </c>
      <c r="T78" s="12" t="s">
        <v>43</v>
      </c>
      <c r="U78" s="10" t="s">
        <v>56</v>
      </c>
      <c r="V78" s="24">
        <f t="shared" ref="V78" si="446">+SUM(W78:AA78)</f>
        <v>3841159.16</v>
      </c>
      <c r="W78" s="24">
        <v>960289.79</v>
      </c>
      <c r="X78" s="50">
        <v>960289.79</v>
      </c>
      <c r="Y78" s="24">
        <v>960289.79</v>
      </c>
      <c r="Z78" s="24">
        <v>960289.79</v>
      </c>
      <c r="AA78" s="24">
        <v>0</v>
      </c>
      <c r="AB78" s="24">
        <f t="shared" ref="AB78" si="447">+SUM(AC78:AG78)</f>
        <v>0</v>
      </c>
      <c r="AC78" s="24">
        <v>0</v>
      </c>
      <c r="AD78" s="50">
        <v>0</v>
      </c>
      <c r="AE78" s="24">
        <v>0</v>
      </c>
      <c r="AF78" s="24">
        <v>0</v>
      </c>
      <c r="AG78" s="24">
        <v>0</v>
      </c>
      <c r="AH78" s="22">
        <f t="shared" ref="AH78" si="448">+SUM(AI78:AM78)</f>
        <v>3841159.16</v>
      </c>
      <c r="AI78" s="22">
        <f t="shared" ref="AI78" si="449">+W78+AC78</f>
        <v>960289.79</v>
      </c>
      <c r="AJ78" s="37">
        <f t="shared" ref="AJ78" si="450">+X78+AD78</f>
        <v>960289.79</v>
      </c>
      <c r="AK78" s="22">
        <f t="shared" ref="AK78" si="451">+Y78+AE78</f>
        <v>960289.79</v>
      </c>
      <c r="AL78" s="22">
        <f t="shared" ref="AL78" si="452">+Z78+AF78</f>
        <v>960289.79</v>
      </c>
      <c r="AM78" s="22">
        <f t="shared" ref="AM78" si="453">+AA78+AG78</f>
        <v>0</v>
      </c>
      <c r="AN78" s="53">
        <f>288086.94</f>
        <v>288086.94</v>
      </c>
      <c r="AO78" s="13">
        <f t="shared" ref="AO78" si="454">+IF(AJ78=0,"N/A",(AN78)/AJ78)</f>
        <v>0.30000000312405695</v>
      </c>
      <c r="AP78" s="17">
        <f t="shared" ref="AP78" si="455">+AJ78-AN78</f>
        <v>672202.85000000009</v>
      </c>
      <c r="AQ78" s="33"/>
      <c r="AR78" s="128"/>
      <c r="AS78" s="128"/>
      <c r="AT78" s="128"/>
    </row>
    <row r="79" spans="1:46" s="2" customFormat="1" ht="38.25">
      <c r="A79" s="45" t="s">
        <v>334</v>
      </c>
      <c r="B79" s="38" t="s">
        <v>335</v>
      </c>
      <c r="C79" s="38" t="s">
        <v>335</v>
      </c>
      <c r="D79" s="14" t="s">
        <v>336</v>
      </c>
      <c r="E79" s="36" t="s">
        <v>337</v>
      </c>
      <c r="F79" s="46" t="s">
        <v>147</v>
      </c>
      <c r="G79" s="14"/>
      <c r="H79" s="48" t="s">
        <v>148</v>
      </c>
      <c r="I79" s="48">
        <v>1713.62</v>
      </c>
      <c r="J79" s="48">
        <v>131</v>
      </c>
      <c r="K79" s="48">
        <v>34</v>
      </c>
      <c r="L79" s="16" t="s">
        <v>90</v>
      </c>
      <c r="M79" s="11" t="s">
        <v>53</v>
      </c>
      <c r="N79" s="14" t="s">
        <v>338</v>
      </c>
      <c r="O79" s="47">
        <v>42550</v>
      </c>
      <c r="P79" s="15"/>
      <c r="Q79" s="16"/>
      <c r="R79" s="14" t="s">
        <v>55</v>
      </c>
      <c r="S79" s="29">
        <v>42381</v>
      </c>
      <c r="T79" s="12" t="s">
        <v>43</v>
      </c>
      <c r="U79" s="10" t="s">
        <v>56</v>
      </c>
      <c r="V79" s="24">
        <f t="shared" ref="V79" si="456">+SUM(W79:AA79)</f>
        <v>1870033.76</v>
      </c>
      <c r="W79" s="24">
        <v>467508.44</v>
      </c>
      <c r="X79" s="50">
        <v>467508.44</v>
      </c>
      <c r="Y79" s="24">
        <v>0</v>
      </c>
      <c r="Z79" s="24">
        <v>467508.44</v>
      </c>
      <c r="AA79" s="24">
        <v>467508.44</v>
      </c>
      <c r="AB79" s="24">
        <f t="shared" ref="AB79" si="457">+SUM(AC79:AG79)</f>
        <v>0</v>
      </c>
      <c r="AC79" s="24">
        <v>0</v>
      </c>
      <c r="AD79" s="50">
        <v>0</v>
      </c>
      <c r="AE79" s="24">
        <v>0</v>
      </c>
      <c r="AF79" s="24">
        <v>0</v>
      </c>
      <c r="AG79" s="24">
        <v>0</v>
      </c>
      <c r="AH79" s="22">
        <f t="shared" ref="AH79" si="458">+SUM(AI79:AM79)</f>
        <v>1870033.76</v>
      </c>
      <c r="AI79" s="22">
        <f t="shared" ref="AI79" si="459">+W79+AC79</f>
        <v>467508.44</v>
      </c>
      <c r="AJ79" s="37">
        <f t="shared" ref="AJ79" si="460">+X79+AD79</f>
        <v>467508.44</v>
      </c>
      <c r="AK79" s="22">
        <f t="shared" ref="AK79" si="461">+Y79+AE79</f>
        <v>0</v>
      </c>
      <c r="AL79" s="22">
        <f t="shared" ref="AL79" si="462">+Z79+AF79</f>
        <v>467508.44</v>
      </c>
      <c r="AM79" s="22">
        <f t="shared" ref="AM79" si="463">+AA79+AG79</f>
        <v>467508.44</v>
      </c>
      <c r="AN79" s="53">
        <f>140252.53</f>
        <v>140252.53</v>
      </c>
      <c r="AO79" s="13">
        <f t="shared" ref="AO79" si="464">+IF(AJ79=0,"N/A",(AN79)/AJ79)</f>
        <v>0.29999999572200237</v>
      </c>
      <c r="AP79" s="17">
        <f t="shared" ref="AP79" si="465">+AJ79-AN79</f>
        <v>327255.91000000003</v>
      </c>
      <c r="AQ79" s="33"/>
      <c r="AR79" s="128"/>
      <c r="AS79" s="128"/>
      <c r="AT79" s="128"/>
    </row>
    <row r="80" spans="1:46" s="2" customFormat="1" ht="25.5">
      <c r="A80" s="45" t="s">
        <v>339</v>
      </c>
      <c r="B80" s="38" t="s">
        <v>186</v>
      </c>
      <c r="C80" s="38" t="s">
        <v>186</v>
      </c>
      <c r="D80" s="14" t="s">
        <v>186</v>
      </c>
      <c r="E80" s="36" t="s">
        <v>340</v>
      </c>
      <c r="F80" s="46" t="s">
        <v>147</v>
      </c>
      <c r="G80" s="14"/>
      <c r="H80" s="48" t="s">
        <v>148</v>
      </c>
      <c r="I80" s="48">
        <v>2215.5</v>
      </c>
      <c r="J80" s="48">
        <v>170</v>
      </c>
      <c r="K80" s="48">
        <v>44</v>
      </c>
      <c r="L80" s="16" t="s">
        <v>90</v>
      </c>
      <c r="M80" s="11" t="s">
        <v>53</v>
      </c>
      <c r="N80" s="14" t="s">
        <v>341</v>
      </c>
      <c r="O80" s="47">
        <v>42550</v>
      </c>
      <c r="P80" s="15"/>
      <c r="Q80" s="16"/>
      <c r="R80" s="14" t="s">
        <v>55</v>
      </c>
      <c r="S80" s="29">
        <v>42381</v>
      </c>
      <c r="T80" s="12" t="s">
        <v>43</v>
      </c>
      <c r="U80" s="10" t="s">
        <v>56</v>
      </c>
      <c r="V80" s="24">
        <f t="shared" ref="V80" si="466">+SUM(W80:AA80)</f>
        <v>2428259.52</v>
      </c>
      <c r="W80" s="24">
        <v>607064.88</v>
      </c>
      <c r="X80" s="50">
        <v>607064.88</v>
      </c>
      <c r="Y80" s="24">
        <v>607064.88</v>
      </c>
      <c r="Z80" s="24">
        <v>607064.88</v>
      </c>
      <c r="AA80" s="24">
        <v>0</v>
      </c>
      <c r="AB80" s="24">
        <f t="shared" ref="AB80" si="467">+SUM(AC80:AG80)</f>
        <v>0</v>
      </c>
      <c r="AC80" s="24">
        <v>0</v>
      </c>
      <c r="AD80" s="50">
        <v>0</v>
      </c>
      <c r="AE80" s="24">
        <v>0</v>
      </c>
      <c r="AF80" s="24">
        <v>0</v>
      </c>
      <c r="AG80" s="24">
        <v>0</v>
      </c>
      <c r="AH80" s="22">
        <f t="shared" ref="AH80" si="468">+SUM(AI80:AM80)</f>
        <v>2428259.52</v>
      </c>
      <c r="AI80" s="22">
        <f t="shared" ref="AI80" si="469">+W80+AC80</f>
        <v>607064.88</v>
      </c>
      <c r="AJ80" s="37">
        <f t="shared" ref="AJ80" si="470">+X80+AD80</f>
        <v>607064.88</v>
      </c>
      <c r="AK80" s="22">
        <f t="shared" ref="AK80" si="471">+Y80+AE80</f>
        <v>607064.88</v>
      </c>
      <c r="AL80" s="22">
        <f t="shared" ref="AL80" si="472">+Z80+AF80</f>
        <v>607064.88</v>
      </c>
      <c r="AM80" s="22">
        <f t="shared" ref="AM80" si="473">+AA80+AG80</f>
        <v>0</v>
      </c>
      <c r="AN80" s="53">
        <f>182119.47</f>
        <v>182119.47</v>
      </c>
      <c r="AO80" s="13">
        <f t="shared" ref="AO80" si="474">+IF(AJ80=0,"N/A",(AN80)/AJ80)</f>
        <v>0.3000000098836223</v>
      </c>
      <c r="AP80" s="17">
        <f t="shared" ref="AP80" si="475">+AJ80-AN80</f>
        <v>424945.41000000003</v>
      </c>
      <c r="AQ80" s="33"/>
      <c r="AR80" s="128"/>
      <c r="AS80" s="128"/>
      <c r="AT80" s="128"/>
    </row>
    <row r="81" spans="1:46" s="2" customFormat="1" ht="25.5">
      <c r="A81" s="45" t="s">
        <v>342</v>
      </c>
      <c r="B81" s="38" t="s">
        <v>343</v>
      </c>
      <c r="C81" s="38" t="s">
        <v>343</v>
      </c>
      <c r="D81" s="14" t="s">
        <v>344</v>
      </c>
      <c r="E81" s="36" t="s">
        <v>345</v>
      </c>
      <c r="F81" s="46" t="s">
        <v>147</v>
      </c>
      <c r="G81" s="14"/>
      <c r="H81" s="48" t="s">
        <v>148</v>
      </c>
      <c r="I81" s="48">
        <v>3946.79</v>
      </c>
      <c r="J81" s="48">
        <v>303</v>
      </c>
      <c r="K81" s="48">
        <v>79</v>
      </c>
      <c r="L81" s="16" t="s">
        <v>90</v>
      </c>
      <c r="M81" s="11" t="s">
        <v>53</v>
      </c>
      <c r="N81" s="14" t="s">
        <v>346</v>
      </c>
      <c r="O81" s="47">
        <v>42550</v>
      </c>
      <c r="P81" s="15"/>
      <c r="Q81" s="16"/>
      <c r="R81" s="14" t="s">
        <v>55</v>
      </c>
      <c r="S81" s="29">
        <v>42381</v>
      </c>
      <c r="T81" s="12" t="s">
        <v>43</v>
      </c>
      <c r="U81" s="10" t="s">
        <v>56</v>
      </c>
      <c r="V81" s="24">
        <f t="shared" ref="V81" si="476">+SUM(W81:AA81)</f>
        <v>3644578.96</v>
      </c>
      <c r="W81" s="24">
        <v>911144.74</v>
      </c>
      <c r="X81" s="50">
        <v>911144.74</v>
      </c>
      <c r="Y81" s="24">
        <v>911144.74</v>
      </c>
      <c r="Z81" s="24">
        <v>911144.74</v>
      </c>
      <c r="AA81" s="24">
        <v>0</v>
      </c>
      <c r="AB81" s="24">
        <f t="shared" ref="AB81" si="477">+SUM(AC81:AG81)</f>
        <v>0</v>
      </c>
      <c r="AC81" s="24">
        <v>0</v>
      </c>
      <c r="AD81" s="50">
        <v>0</v>
      </c>
      <c r="AE81" s="24">
        <v>0</v>
      </c>
      <c r="AF81" s="24">
        <v>0</v>
      </c>
      <c r="AG81" s="24">
        <v>0</v>
      </c>
      <c r="AH81" s="22">
        <f t="shared" ref="AH81" si="478">+SUM(AI81:AM81)</f>
        <v>3644578.96</v>
      </c>
      <c r="AI81" s="22">
        <f t="shared" ref="AI81" si="479">+W81+AC81</f>
        <v>911144.74</v>
      </c>
      <c r="AJ81" s="37">
        <f t="shared" ref="AJ81" si="480">+X81+AD81</f>
        <v>911144.74</v>
      </c>
      <c r="AK81" s="22">
        <f t="shared" ref="AK81" si="481">+Y81+AE81</f>
        <v>911144.74</v>
      </c>
      <c r="AL81" s="22">
        <f t="shared" ref="AL81" si="482">+Z81+AF81</f>
        <v>911144.74</v>
      </c>
      <c r="AM81" s="22">
        <f t="shared" ref="AM81" si="483">+AA81+AG81</f>
        <v>0</v>
      </c>
      <c r="AN81" s="53">
        <f>273343.42</f>
        <v>273343.42</v>
      </c>
      <c r="AO81" s="13">
        <f t="shared" ref="AO81" si="484">+IF(AJ81=0,"N/A",(AN81)/AJ81)</f>
        <v>0.29999999780495906</v>
      </c>
      <c r="AP81" s="17">
        <f t="shared" ref="AP81" si="485">+AJ81-AN81</f>
        <v>637801.32000000007</v>
      </c>
      <c r="AQ81" s="33"/>
      <c r="AR81" s="128"/>
      <c r="AS81" s="128"/>
      <c r="AT81" s="128"/>
    </row>
    <row r="82" spans="1:46" s="2" customFormat="1" ht="25.5">
      <c r="A82" s="45" t="s">
        <v>347</v>
      </c>
      <c r="B82" s="38" t="s">
        <v>110</v>
      </c>
      <c r="C82" s="38" t="s">
        <v>110</v>
      </c>
      <c r="D82" s="14" t="s">
        <v>110</v>
      </c>
      <c r="E82" s="36" t="s">
        <v>348</v>
      </c>
      <c r="F82" s="46" t="s">
        <v>147</v>
      </c>
      <c r="G82" s="14"/>
      <c r="H82" s="48" t="s">
        <v>148</v>
      </c>
      <c r="I82" s="48">
        <v>2470.6</v>
      </c>
      <c r="J82" s="48">
        <v>1351</v>
      </c>
      <c r="K82" s="48">
        <v>49</v>
      </c>
      <c r="L82" s="16" t="s">
        <v>90</v>
      </c>
      <c r="M82" s="11" t="s">
        <v>53</v>
      </c>
      <c r="N82" s="14" t="s">
        <v>349</v>
      </c>
      <c r="O82" s="47">
        <v>42550</v>
      </c>
      <c r="P82" s="15"/>
      <c r="Q82" s="16"/>
      <c r="R82" s="14" t="s">
        <v>55</v>
      </c>
      <c r="S82" s="29">
        <v>42381</v>
      </c>
      <c r="T82" s="12" t="s">
        <v>43</v>
      </c>
      <c r="U82" s="10" t="s">
        <v>56</v>
      </c>
      <c r="V82" s="24">
        <f t="shared" ref="V82" si="486">+SUM(W82:AA82)</f>
        <v>3278773.52</v>
      </c>
      <c r="W82" s="24">
        <v>819693.38</v>
      </c>
      <c r="X82" s="50">
        <v>819693.38</v>
      </c>
      <c r="Y82" s="24">
        <v>819693.38</v>
      </c>
      <c r="Z82" s="24">
        <v>819693.38</v>
      </c>
      <c r="AA82" s="24">
        <v>0</v>
      </c>
      <c r="AB82" s="24">
        <f t="shared" ref="AB82" si="487">+SUM(AC82:AG82)</f>
        <v>0</v>
      </c>
      <c r="AC82" s="24">
        <v>0</v>
      </c>
      <c r="AD82" s="50">
        <v>0</v>
      </c>
      <c r="AE82" s="24">
        <v>0</v>
      </c>
      <c r="AF82" s="24">
        <v>0</v>
      </c>
      <c r="AG82" s="24">
        <v>0</v>
      </c>
      <c r="AH82" s="22">
        <f t="shared" ref="AH82" si="488">+SUM(AI82:AM82)</f>
        <v>3278773.52</v>
      </c>
      <c r="AI82" s="22">
        <f t="shared" ref="AI82" si="489">+W82+AC82</f>
        <v>819693.38</v>
      </c>
      <c r="AJ82" s="37">
        <f t="shared" ref="AJ82" si="490">+X82+AD82</f>
        <v>819693.38</v>
      </c>
      <c r="AK82" s="22">
        <f t="shared" ref="AK82" si="491">+Y82+AE82</f>
        <v>819693.38</v>
      </c>
      <c r="AL82" s="22">
        <f t="shared" ref="AL82" si="492">+Z82+AF82</f>
        <v>819693.38</v>
      </c>
      <c r="AM82" s="22">
        <f t="shared" ref="AM82" si="493">+AA82+AG82</f>
        <v>0</v>
      </c>
      <c r="AN82" s="53">
        <v>0</v>
      </c>
      <c r="AO82" s="13">
        <f t="shared" ref="AO82" si="494">+IF(AJ82=0,"N/A",(AN82)/AJ82)</f>
        <v>0</v>
      </c>
      <c r="AP82" s="17">
        <f t="shared" ref="AP82" si="495">+AJ82-AN82</f>
        <v>819693.38</v>
      </c>
      <c r="AQ82" s="33"/>
      <c r="AR82" s="128"/>
      <c r="AS82" s="128"/>
      <c r="AT82" s="128"/>
    </row>
    <row r="83" spans="1:46" s="2" customFormat="1" ht="51">
      <c r="A83" s="45" t="s">
        <v>350</v>
      </c>
      <c r="B83" s="38" t="s">
        <v>351</v>
      </c>
      <c r="C83" s="38" t="s">
        <v>351</v>
      </c>
      <c r="D83" s="14" t="s">
        <v>351</v>
      </c>
      <c r="E83" s="36" t="s">
        <v>352</v>
      </c>
      <c r="F83" s="46" t="s">
        <v>147</v>
      </c>
      <c r="G83" s="14"/>
      <c r="H83" s="48" t="s">
        <v>148</v>
      </c>
      <c r="I83" s="48">
        <v>2684.42</v>
      </c>
      <c r="J83" s="48">
        <v>206</v>
      </c>
      <c r="K83" s="48">
        <v>54</v>
      </c>
      <c r="L83" s="16" t="s">
        <v>90</v>
      </c>
      <c r="M83" s="11" t="s">
        <v>53</v>
      </c>
      <c r="N83" s="14" t="s">
        <v>353</v>
      </c>
      <c r="O83" s="47">
        <v>42550</v>
      </c>
      <c r="P83" s="15"/>
      <c r="Q83" s="16"/>
      <c r="R83" s="14" t="s">
        <v>55</v>
      </c>
      <c r="S83" s="29">
        <v>42381</v>
      </c>
      <c r="T83" s="12" t="s">
        <v>43</v>
      </c>
      <c r="U83" s="10" t="s">
        <v>56</v>
      </c>
      <c r="V83" s="24">
        <f t="shared" ref="V83" si="496">+SUM(W83:AA83)</f>
        <v>2193976.64</v>
      </c>
      <c r="W83" s="24">
        <v>548494.16</v>
      </c>
      <c r="X83" s="50">
        <v>548494.16</v>
      </c>
      <c r="Y83" s="24">
        <v>548494.16</v>
      </c>
      <c r="Z83" s="24">
        <v>548494.16</v>
      </c>
      <c r="AA83" s="24">
        <v>0</v>
      </c>
      <c r="AB83" s="24">
        <f t="shared" ref="AB83" si="497">+SUM(AC83:AG83)</f>
        <v>0</v>
      </c>
      <c r="AC83" s="24">
        <v>0</v>
      </c>
      <c r="AD83" s="50">
        <v>0</v>
      </c>
      <c r="AE83" s="24">
        <v>0</v>
      </c>
      <c r="AF83" s="24">
        <v>0</v>
      </c>
      <c r="AG83" s="24">
        <v>0</v>
      </c>
      <c r="AH83" s="22">
        <f t="shared" ref="AH83" si="498">+SUM(AI83:AM83)</f>
        <v>2193976.64</v>
      </c>
      <c r="AI83" s="22">
        <f t="shared" ref="AI83" si="499">+W83+AC83</f>
        <v>548494.16</v>
      </c>
      <c r="AJ83" s="37">
        <f t="shared" ref="AJ83" si="500">+X83+AD83</f>
        <v>548494.16</v>
      </c>
      <c r="AK83" s="22">
        <f t="shared" ref="AK83" si="501">+Y83+AE83</f>
        <v>548494.16</v>
      </c>
      <c r="AL83" s="22">
        <f t="shared" ref="AL83" si="502">+Z83+AF83</f>
        <v>548494.16</v>
      </c>
      <c r="AM83" s="22">
        <f t="shared" ref="AM83" si="503">+AA83+AG83</f>
        <v>0</v>
      </c>
      <c r="AN83" s="53">
        <v>0</v>
      </c>
      <c r="AO83" s="13">
        <f t="shared" ref="AO83" si="504">+IF(AJ83=0,"N/A",(AN83)/AJ83)</f>
        <v>0</v>
      </c>
      <c r="AP83" s="17">
        <f t="shared" ref="AP83" si="505">+AJ83-AN83</f>
        <v>548494.16</v>
      </c>
      <c r="AQ83" s="33"/>
      <c r="AR83" s="128"/>
      <c r="AS83" s="128"/>
      <c r="AT83" s="128"/>
    </row>
    <row r="84" spans="1:46" s="2" customFormat="1" ht="38.25">
      <c r="A84" s="45" t="s">
        <v>354</v>
      </c>
      <c r="B84" s="38" t="s">
        <v>58</v>
      </c>
      <c r="C84" s="38" t="s">
        <v>58</v>
      </c>
      <c r="D84" s="14" t="s">
        <v>355</v>
      </c>
      <c r="E84" s="36" t="s">
        <v>356</v>
      </c>
      <c r="F84" s="46" t="s">
        <v>51</v>
      </c>
      <c r="G84" s="14"/>
      <c r="H84" s="48" t="s">
        <v>73</v>
      </c>
      <c r="I84" s="48">
        <v>4823.63</v>
      </c>
      <c r="J84" s="48">
        <v>386</v>
      </c>
      <c r="K84" s="48">
        <v>50</v>
      </c>
      <c r="L84" s="16" t="s">
        <v>357</v>
      </c>
      <c r="M84" s="11" t="s">
        <v>53</v>
      </c>
      <c r="N84" s="14" t="s">
        <v>358</v>
      </c>
      <c r="O84" s="47">
        <v>42606</v>
      </c>
      <c r="P84" s="15"/>
      <c r="Q84" s="16"/>
      <c r="R84" s="14" t="s">
        <v>55</v>
      </c>
      <c r="S84" s="29">
        <v>42381</v>
      </c>
      <c r="T84" s="12" t="s">
        <v>43</v>
      </c>
      <c r="U84" s="10" t="s">
        <v>56</v>
      </c>
      <c r="V84" s="24">
        <f t="shared" ref="V84" si="506">+SUM(W84:AA84)</f>
        <v>3266764.32</v>
      </c>
      <c r="W84" s="24">
        <v>816691.08</v>
      </c>
      <c r="X84" s="50">
        <v>816691.08</v>
      </c>
      <c r="Y84" s="24">
        <v>816691.08</v>
      </c>
      <c r="Z84" s="24">
        <v>816691.08</v>
      </c>
      <c r="AA84" s="24">
        <v>0</v>
      </c>
      <c r="AB84" s="24">
        <f t="shared" ref="AB84" si="507">+SUM(AC84:AG84)</f>
        <v>0</v>
      </c>
      <c r="AC84" s="24">
        <v>0</v>
      </c>
      <c r="AD84" s="50">
        <v>0</v>
      </c>
      <c r="AE84" s="24">
        <v>0</v>
      </c>
      <c r="AF84" s="24">
        <v>0</v>
      </c>
      <c r="AG84" s="24">
        <v>0</v>
      </c>
      <c r="AH84" s="22">
        <f t="shared" ref="AH84" si="508">+SUM(AI84:AM84)</f>
        <v>3266764.32</v>
      </c>
      <c r="AI84" s="22">
        <f t="shared" ref="AI84" si="509">+W84+AC84</f>
        <v>816691.08</v>
      </c>
      <c r="AJ84" s="37">
        <f t="shared" ref="AJ84" si="510">+X84+AD84</f>
        <v>816691.08</v>
      </c>
      <c r="AK84" s="22">
        <f t="shared" ref="AK84" si="511">+Y84+AE84</f>
        <v>816691.08</v>
      </c>
      <c r="AL84" s="22">
        <f t="shared" ref="AL84" si="512">+Z84+AF84</f>
        <v>816691.08</v>
      </c>
      <c r="AM84" s="22">
        <f t="shared" ref="AM84" si="513">+AA84+AG84</f>
        <v>0</v>
      </c>
      <c r="AN84" s="53">
        <v>0</v>
      </c>
      <c r="AO84" s="13">
        <f t="shared" ref="AO84" si="514">+IF(AJ84=0,"N/A",(AN84)/AJ84)</f>
        <v>0</v>
      </c>
      <c r="AP84" s="17">
        <f t="shared" ref="AP84" si="515">+AJ84-AN84</f>
        <v>816691.08</v>
      </c>
      <c r="AQ84" s="33"/>
      <c r="AR84" s="128"/>
      <c r="AS84" s="128"/>
      <c r="AT84" s="128"/>
    </row>
    <row r="85" spans="1:46" s="2" customFormat="1" ht="38.25">
      <c r="A85" s="45" t="s">
        <v>359</v>
      </c>
      <c r="B85" s="38" t="s">
        <v>93</v>
      </c>
      <c r="C85" s="38" t="s">
        <v>93</v>
      </c>
      <c r="D85" s="14" t="s">
        <v>94</v>
      </c>
      <c r="E85" s="36" t="s">
        <v>360</v>
      </c>
      <c r="F85" s="46" t="s">
        <v>323</v>
      </c>
      <c r="G85" s="14"/>
      <c r="H85" s="48" t="s">
        <v>324</v>
      </c>
      <c r="I85" s="48">
        <v>2.2000000000000002</v>
      </c>
      <c r="J85" s="48">
        <v>290</v>
      </c>
      <c r="K85" s="48">
        <v>0</v>
      </c>
      <c r="L85" s="16" t="s">
        <v>361</v>
      </c>
      <c r="M85" s="11" t="s">
        <v>53</v>
      </c>
      <c r="N85" s="14" t="s">
        <v>362</v>
      </c>
      <c r="O85" s="47">
        <v>42606</v>
      </c>
      <c r="P85" s="15"/>
      <c r="Q85" s="16"/>
      <c r="R85" s="14" t="s">
        <v>55</v>
      </c>
      <c r="S85" s="29">
        <v>42381</v>
      </c>
      <c r="T85" s="12" t="s">
        <v>43</v>
      </c>
      <c r="U85" s="10" t="s">
        <v>56</v>
      </c>
      <c r="V85" s="24">
        <f t="shared" ref="V85" si="516">+SUM(W85:AA85)</f>
        <v>5775178.7199999997</v>
      </c>
      <c r="W85" s="24">
        <v>1443794.68</v>
      </c>
      <c r="X85" s="50">
        <v>1443794.68</v>
      </c>
      <c r="Y85" s="24">
        <v>1443794.68</v>
      </c>
      <c r="Z85" s="24">
        <v>1443794.68</v>
      </c>
      <c r="AA85" s="24">
        <v>0</v>
      </c>
      <c r="AB85" s="24">
        <f t="shared" ref="AB85" si="517">+SUM(AC85:AG85)</f>
        <v>0</v>
      </c>
      <c r="AC85" s="24">
        <v>0</v>
      </c>
      <c r="AD85" s="50">
        <v>0</v>
      </c>
      <c r="AE85" s="24">
        <v>0</v>
      </c>
      <c r="AF85" s="24">
        <v>0</v>
      </c>
      <c r="AG85" s="24">
        <v>0</v>
      </c>
      <c r="AH85" s="22">
        <f t="shared" ref="AH85" si="518">+SUM(AI85:AM85)</f>
        <v>5775178.7199999997</v>
      </c>
      <c r="AI85" s="22">
        <f t="shared" ref="AI85" si="519">+W85+AC85</f>
        <v>1443794.68</v>
      </c>
      <c r="AJ85" s="37">
        <f t="shared" ref="AJ85" si="520">+X85+AD85</f>
        <v>1443794.68</v>
      </c>
      <c r="AK85" s="22">
        <f t="shared" ref="AK85" si="521">+Y85+AE85</f>
        <v>1443794.68</v>
      </c>
      <c r="AL85" s="22">
        <f t="shared" ref="AL85" si="522">+Z85+AF85</f>
        <v>1443794.68</v>
      </c>
      <c r="AM85" s="22">
        <f t="shared" ref="AM85" si="523">+AA85+AG85</f>
        <v>0</v>
      </c>
      <c r="AN85" s="53">
        <v>0</v>
      </c>
      <c r="AO85" s="13">
        <f t="shared" ref="AO85" si="524">+IF(AJ85=0,"N/A",(AN85)/AJ85)</f>
        <v>0</v>
      </c>
      <c r="AP85" s="17">
        <f t="shared" ref="AP85" si="525">+AJ85-AN85</f>
        <v>1443794.68</v>
      </c>
      <c r="AQ85" s="33"/>
      <c r="AR85" s="128"/>
      <c r="AS85" s="128"/>
      <c r="AT85" s="128"/>
    </row>
    <row r="86" spans="1:46" s="2" customFormat="1" ht="25.5">
      <c r="A86" s="45" t="s">
        <v>363</v>
      </c>
      <c r="B86" s="38" t="s">
        <v>364</v>
      </c>
      <c r="C86" s="38" t="s">
        <v>271</v>
      </c>
      <c r="D86" s="14" t="s">
        <v>271</v>
      </c>
      <c r="E86" s="36" t="s">
        <v>365</v>
      </c>
      <c r="F86" s="46" t="s">
        <v>214</v>
      </c>
      <c r="G86" s="14"/>
      <c r="H86" s="48" t="s">
        <v>96</v>
      </c>
      <c r="I86" s="48">
        <v>53</v>
      </c>
      <c r="J86" s="48">
        <v>231</v>
      </c>
      <c r="K86" s="48">
        <v>53</v>
      </c>
      <c r="L86" s="16" t="s">
        <v>366</v>
      </c>
      <c r="M86" s="11" t="s">
        <v>53</v>
      </c>
      <c r="N86" s="14" t="s">
        <v>368</v>
      </c>
      <c r="O86" s="47">
        <v>42542</v>
      </c>
      <c r="P86" s="15"/>
      <c r="Q86" s="16"/>
      <c r="R86" s="14" t="s">
        <v>55</v>
      </c>
      <c r="S86" s="29">
        <v>42381</v>
      </c>
      <c r="T86" s="12" t="s">
        <v>43</v>
      </c>
      <c r="U86" s="10" t="s">
        <v>56</v>
      </c>
      <c r="V86" s="24">
        <f t="shared" ref="V86" si="526">+SUM(W86:AA86)</f>
        <v>2284861.8000000003</v>
      </c>
      <c r="W86" s="24">
        <v>1028187.81</v>
      </c>
      <c r="X86" s="50">
        <v>571215.44999999995</v>
      </c>
      <c r="Y86" s="24">
        <v>616912.68999999994</v>
      </c>
      <c r="Z86" s="24">
        <v>68545.850000000006</v>
      </c>
      <c r="AA86" s="24">
        <v>0</v>
      </c>
      <c r="AB86" s="24">
        <f t="shared" ref="AB86" si="527">+SUM(AC86:AG86)</f>
        <v>0</v>
      </c>
      <c r="AC86" s="24">
        <v>0</v>
      </c>
      <c r="AD86" s="50">
        <v>0</v>
      </c>
      <c r="AE86" s="24">
        <v>0</v>
      </c>
      <c r="AF86" s="24">
        <v>0</v>
      </c>
      <c r="AG86" s="24">
        <v>0</v>
      </c>
      <c r="AH86" s="22">
        <f t="shared" ref="AH86" si="528">+SUM(AI86:AM86)</f>
        <v>2284861.8000000003</v>
      </c>
      <c r="AI86" s="22">
        <f t="shared" ref="AI86" si="529">+W86+AC86</f>
        <v>1028187.81</v>
      </c>
      <c r="AJ86" s="37">
        <f t="shared" ref="AJ86" si="530">+X86+AD86</f>
        <v>571215.44999999995</v>
      </c>
      <c r="AK86" s="22">
        <f t="shared" ref="AK86" si="531">+Y86+AE86</f>
        <v>616912.68999999994</v>
      </c>
      <c r="AL86" s="22">
        <f t="shared" ref="AL86" si="532">+Z86+AF86</f>
        <v>68545.850000000006</v>
      </c>
      <c r="AM86" s="22">
        <f t="shared" ref="AM86" si="533">+AA86+AG86</f>
        <v>0</v>
      </c>
      <c r="AN86" s="53">
        <v>0</v>
      </c>
      <c r="AO86" s="13">
        <f t="shared" ref="AO86" si="534">+IF(AJ86=0,"N/A",(AN86)/AJ86)</f>
        <v>0</v>
      </c>
      <c r="AP86" s="17">
        <f t="shared" ref="AP86" si="535">+AJ86-AN86</f>
        <v>571215.44999999995</v>
      </c>
      <c r="AQ86" s="33"/>
      <c r="AR86" s="128"/>
      <c r="AS86" s="128"/>
      <c r="AT86" s="128"/>
    </row>
    <row r="87" spans="1:46" s="2" customFormat="1" ht="25.5">
      <c r="A87" s="45" t="s">
        <v>367</v>
      </c>
      <c r="B87" s="38" t="s">
        <v>364</v>
      </c>
      <c r="C87" s="38" t="s">
        <v>271</v>
      </c>
      <c r="D87" s="14" t="s">
        <v>271</v>
      </c>
      <c r="E87" s="36" t="s">
        <v>365</v>
      </c>
      <c r="F87" s="46" t="s">
        <v>214</v>
      </c>
      <c r="G87" s="14"/>
      <c r="H87" s="48" t="s">
        <v>96</v>
      </c>
      <c r="I87" s="48">
        <v>50</v>
      </c>
      <c r="J87" s="48">
        <v>218</v>
      </c>
      <c r="K87" s="48">
        <v>50</v>
      </c>
      <c r="L87" s="16" t="s">
        <v>366</v>
      </c>
      <c r="M87" s="11" t="s">
        <v>53</v>
      </c>
      <c r="N87" s="14" t="s">
        <v>368</v>
      </c>
      <c r="O87" s="47">
        <v>42542</v>
      </c>
      <c r="P87" s="15"/>
      <c r="Q87" s="16"/>
      <c r="R87" s="14" t="s">
        <v>55</v>
      </c>
      <c r="S87" s="29">
        <v>42381</v>
      </c>
      <c r="T87" s="12" t="s">
        <v>43</v>
      </c>
      <c r="U87" s="10" t="s">
        <v>56</v>
      </c>
      <c r="V87" s="24">
        <f t="shared" ref="V87" si="536">+SUM(W87:AA87)</f>
        <v>2155530</v>
      </c>
      <c r="W87" s="24">
        <v>969988.5</v>
      </c>
      <c r="X87" s="50">
        <v>538882.5</v>
      </c>
      <c r="Y87" s="24">
        <v>581993.1</v>
      </c>
      <c r="Z87" s="24">
        <v>64665.9</v>
      </c>
      <c r="AA87" s="24">
        <v>0</v>
      </c>
      <c r="AB87" s="24">
        <f t="shared" ref="AB87" si="537">+SUM(AC87:AG87)</f>
        <v>0</v>
      </c>
      <c r="AC87" s="24">
        <v>0</v>
      </c>
      <c r="AD87" s="50">
        <v>0</v>
      </c>
      <c r="AE87" s="24">
        <v>0</v>
      </c>
      <c r="AF87" s="24">
        <v>0</v>
      </c>
      <c r="AG87" s="24">
        <v>0</v>
      </c>
      <c r="AH87" s="22">
        <f t="shared" ref="AH87" si="538">+SUM(AI87:AM87)</f>
        <v>2155530</v>
      </c>
      <c r="AI87" s="22">
        <f t="shared" ref="AI87" si="539">+W87+AC87</f>
        <v>969988.5</v>
      </c>
      <c r="AJ87" s="37">
        <f t="shared" ref="AJ87" si="540">+X87+AD87</f>
        <v>538882.5</v>
      </c>
      <c r="AK87" s="22">
        <f t="shared" ref="AK87" si="541">+Y87+AE87</f>
        <v>581993.1</v>
      </c>
      <c r="AL87" s="22">
        <f t="shared" ref="AL87" si="542">+Z87+AF87</f>
        <v>64665.9</v>
      </c>
      <c r="AM87" s="22">
        <f t="shared" ref="AM87" si="543">+AA87+AG87</f>
        <v>0</v>
      </c>
      <c r="AN87" s="53">
        <v>0</v>
      </c>
      <c r="AO87" s="13">
        <f t="shared" ref="AO87" si="544">+IF(AJ87=0,"N/A",(AN87)/AJ87)</f>
        <v>0</v>
      </c>
      <c r="AP87" s="17">
        <f t="shared" ref="AP87" si="545">+AJ87-AN87</f>
        <v>538882.5</v>
      </c>
      <c r="AQ87" s="33"/>
      <c r="AR87" s="128"/>
      <c r="AS87" s="128"/>
      <c r="AT87" s="128"/>
    </row>
    <row r="88" spans="1:46" s="2" customFormat="1" ht="25.5">
      <c r="A88" s="45" t="s">
        <v>369</v>
      </c>
      <c r="B88" s="38" t="s">
        <v>364</v>
      </c>
      <c r="C88" s="38" t="s">
        <v>271</v>
      </c>
      <c r="D88" s="14" t="s">
        <v>271</v>
      </c>
      <c r="E88" s="36" t="s">
        <v>365</v>
      </c>
      <c r="F88" s="46" t="s">
        <v>214</v>
      </c>
      <c r="G88" s="14"/>
      <c r="H88" s="48" t="s">
        <v>96</v>
      </c>
      <c r="I88" s="48">
        <v>47</v>
      </c>
      <c r="J88" s="48">
        <v>205</v>
      </c>
      <c r="K88" s="48">
        <v>47</v>
      </c>
      <c r="L88" s="16" t="s">
        <v>366</v>
      </c>
      <c r="M88" s="11" t="s">
        <v>53</v>
      </c>
      <c r="N88" s="14" t="s">
        <v>368</v>
      </c>
      <c r="O88" s="47">
        <v>42542</v>
      </c>
      <c r="P88" s="15"/>
      <c r="Q88" s="16"/>
      <c r="R88" s="14" t="s">
        <v>55</v>
      </c>
      <c r="S88" s="29">
        <v>42381</v>
      </c>
      <c r="T88" s="12" t="s">
        <v>43</v>
      </c>
      <c r="U88" s="10" t="s">
        <v>56</v>
      </c>
      <c r="V88" s="24">
        <f t="shared" ref="V88" si="546">+SUM(W88:AA88)</f>
        <v>2026198.2</v>
      </c>
      <c r="W88" s="24">
        <v>911789.19</v>
      </c>
      <c r="X88" s="50">
        <v>506549.55</v>
      </c>
      <c r="Y88" s="24">
        <v>547073.51</v>
      </c>
      <c r="Z88" s="24">
        <v>60785.95</v>
      </c>
      <c r="AA88" s="24">
        <v>0</v>
      </c>
      <c r="AB88" s="24">
        <f t="shared" ref="AB88" si="547">+SUM(AC88:AG88)</f>
        <v>0</v>
      </c>
      <c r="AC88" s="24">
        <v>0</v>
      </c>
      <c r="AD88" s="50">
        <v>0</v>
      </c>
      <c r="AE88" s="24">
        <v>0</v>
      </c>
      <c r="AF88" s="24">
        <v>0</v>
      </c>
      <c r="AG88" s="24">
        <v>0</v>
      </c>
      <c r="AH88" s="22">
        <f t="shared" ref="AH88" si="548">+SUM(AI88:AM88)</f>
        <v>2026198.2</v>
      </c>
      <c r="AI88" s="22">
        <f t="shared" ref="AI88" si="549">+W88+AC88</f>
        <v>911789.19</v>
      </c>
      <c r="AJ88" s="37">
        <f t="shared" ref="AJ88" si="550">+X88+AD88</f>
        <v>506549.55</v>
      </c>
      <c r="AK88" s="22">
        <f t="shared" ref="AK88" si="551">+Y88+AE88</f>
        <v>547073.51</v>
      </c>
      <c r="AL88" s="22">
        <f t="shared" ref="AL88" si="552">+Z88+AF88</f>
        <v>60785.95</v>
      </c>
      <c r="AM88" s="22">
        <f t="shared" ref="AM88" si="553">+AA88+AG88</f>
        <v>0</v>
      </c>
      <c r="AN88" s="53">
        <v>0</v>
      </c>
      <c r="AO88" s="13">
        <f t="shared" ref="AO88" si="554">+IF(AJ88=0,"N/A",(AN88)/AJ88)</f>
        <v>0</v>
      </c>
      <c r="AP88" s="17">
        <f t="shared" ref="AP88" si="555">+AJ88-AN88</f>
        <v>506549.55</v>
      </c>
      <c r="AQ88" s="33"/>
      <c r="AR88" s="128"/>
      <c r="AS88" s="128"/>
      <c r="AT88" s="128"/>
    </row>
    <row r="89" spans="1:46" s="2" customFormat="1" ht="25.5">
      <c r="A89" s="45" t="s">
        <v>370</v>
      </c>
      <c r="B89" s="38" t="s">
        <v>371</v>
      </c>
      <c r="C89" s="38" t="s">
        <v>371</v>
      </c>
      <c r="D89" s="14" t="s">
        <v>371</v>
      </c>
      <c r="E89" s="36" t="s">
        <v>372</v>
      </c>
      <c r="F89" s="46" t="s">
        <v>214</v>
      </c>
      <c r="G89" s="14"/>
      <c r="H89" s="48" t="s">
        <v>96</v>
      </c>
      <c r="I89" s="48">
        <v>50</v>
      </c>
      <c r="J89" s="48">
        <v>203</v>
      </c>
      <c r="K89" s="48">
        <v>50</v>
      </c>
      <c r="L89" s="16" t="s">
        <v>366</v>
      </c>
      <c r="M89" s="11" t="s">
        <v>53</v>
      </c>
      <c r="N89" s="14" t="s">
        <v>373</v>
      </c>
      <c r="O89" s="47">
        <v>42542</v>
      </c>
      <c r="P89" s="15"/>
      <c r="Q89" s="16"/>
      <c r="R89" s="14" t="s">
        <v>55</v>
      </c>
      <c r="S89" s="29">
        <v>42381</v>
      </c>
      <c r="T89" s="12" t="s">
        <v>43</v>
      </c>
      <c r="U89" s="10" t="s">
        <v>56</v>
      </c>
      <c r="V89" s="24">
        <f t="shared" ref="V89" si="556">+SUM(W89:AA89)</f>
        <v>2155530</v>
      </c>
      <c r="W89" s="24">
        <v>969988.5</v>
      </c>
      <c r="X89" s="50">
        <v>538882.5</v>
      </c>
      <c r="Y89" s="24">
        <v>589159</v>
      </c>
      <c r="Z89" s="24">
        <v>57500</v>
      </c>
      <c r="AA89" s="24">
        <v>0</v>
      </c>
      <c r="AB89" s="24">
        <f t="shared" ref="AB89" si="557">+SUM(AC89:AG89)</f>
        <v>0</v>
      </c>
      <c r="AC89" s="24">
        <v>0</v>
      </c>
      <c r="AD89" s="50">
        <v>0</v>
      </c>
      <c r="AE89" s="24">
        <v>0</v>
      </c>
      <c r="AF89" s="24">
        <v>0</v>
      </c>
      <c r="AG89" s="24">
        <v>0</v>
      </c>
      <c r="AH89" s="22">
        <f t="shared" ref="AH89" si="558">+SUM(AI89:AM89)</f>
        <v>2155530</v>
      </c>
      <c r="AI89" s="22">
        <f t="shared" ref="AI89" si="559">+W89+AC89</f>
        <v>969988.5</v>
      </c>
      <c r="AJ89" s="37">
        <f t="shared" ref="AJ89" si="560">+X89+AD89</f>
        <v>538882.5</v>
      </c>
      <c r="AK89" s="22">
        <f t="shared" ref="AK89" si="561">+Y89+AE89</f>
        <v>589159</v>
      </c>
      <c r="AL89" s="22">
        <f t="shared" ref="AL89" si="562">+Z89+AF89</f>
        <v>57500</v>
      </c>
      <c r="AM89" s="22">
        <f t="shared" ref="AM89" si="563">+AA89+AG89</f>
        <v>0</v>
      </c>
      <c r="AN89" s="53">
        <v>0</v>
      </c>
      <c r="AO89" s="13">
        <f t="shared" ref="AO89" si="564">+IF(AJ89=0,"N/A",(AN89)/AJ89)</f>
        <v>0</v>
      </c>
      <c r="AP89" s="17">
        <f t="shared" ref="AP89" si="565">+AJ89-AN89</f>
        <v>538882.5</v>
      </c>
      <c r="AQ89" s="33"/>
      <c r="AR89" s="128"/>
      <c r="AS89" s="128"/>
      <c r="AT89" s="128"/>
    </row>
    <row r="90" spans="1:46" s="2" customFormat="1" ht="25.5">
      <c r="A90" s="45" t="s">
        <v>374</v>
      </c>
      <c r="B90" s="38" t="s">
        <v>99</v>
      </c>
      <c r="C90" s="38" t="s">
        <v>99</v>
      </c>
      <c r="D90" s="14" t="s">
        <v>375</v>
      </c>
      <c r="E90" s="36" t="s">
        <v>376</v>
      </c>
      <c r="F90" s="46" t="s">
        <v>214</v>
      </c>
      <c r="G90" s="14"/>
      <c r="H90" s="48" t="s">
        <v>96</v>
      </c>
      <c r="I90" s="48">
        <v>13</v>
      </c>
      <c r="J90" s="48">
        <v>55</v>
      </c>
      <c r="K90" s="48">
        <v>13</v>
      </c>
      <c r="L90" s="16" t="s">
        <v>366</v>
      </c>
      <c r="M90" s="11" t="s">
        <v>53</v>
      </c>
      <c r="N90" s="14" t="s">
        <v>377</v>
      </c>
      <c r="O90" s="47">
        <v>42542</v>
      </c>
      <c r="P90" s="15"/>
      <c r="Q90" s="16"/>
      <c r="R90" s="14" t="s">
        <v>55</v>
      </c>
      <c r="S90" s="29">
        <v>42381</v>
      </c>
      <c r="T90" s="12" t="s">
        <v>43</v>
      </c>
      <c r="U90" s="10" t="s">
        <v>56</v>
      </c>
      <c r="V90" s="24">
        <f t="shared" ref="V90" si="566">+SUM(W90:AA90)</f>
        <v>560437.80000000005</v>
      </c>
      <c r="W90" s="24">
        <v>252197.01</v>
      </c>
      <c r="X90" s="50">
        <v>140109.45000000001</v>
      </c>
      <c r="Y90" s="24">
        <v>153181.34</v>
      </c>
      <c r="Z90" s="24">
        <v>14950</v>
      </c>
      <c r="AA90" s="24">
        <v>0</v>
      </c>
      <c r="AB90" s="24">
        <f t="shared" ref="AB90" si="567">+SUM(AC90:AG90)</f>
        <v>0</v>
      </c>
      <c r="AC90" s="24">
        <v>0</v>
      </c>
      <c r="AD90" s="50">
        <v>0</v>
      </c>
      <c r="AE90" s="24">
        <v>0</v>
      </c>
      <c r="AF90" s="24">
        <v>0</v>
      </c>
      <c r="AG90" s="24">
        <v>0</v>
      </c>
      <c r="AH90" s="22">
        <f t="shared" ref="AH90" si="568">+SUM(AI90:AM90)</f>
        <v>560437.80000000005</v>
      </c>
      <c r="AI90" s="22">
        <f t="shared" ref="AI90" si="569">+W90+AC90</f>
        <v>252197.01</v>
      </c>
      <c r="AJ90" s="37">
        <f t="shared" ref="AJ90" si="570">+X90+AD90</f>
        <v>140109.45000000001</v>
      </c>
      <c r="AK90" s="22">
        <f t="shared" ref="AK90" si="571">+Y90+AE90</f>
        <v>153181.34</v>
      </c>
      <c r="AL90" s="22">
        <f t="shared" ref="AL90" si="572">+Z90+AF90</f>
        <v>14950</v>
      </c>
      <c r="AM90" s="22">
        <f t="shared" ref="AM90" si="573">+AA90+AG90</f>
        <v>0</v>
      </c>
      <c r="AN90" s="53">
        <v>0</v>
      </c>
      <c r="AO90" s="13">
        <f t="shared" ref="AO90" si="574">+IF(AJ90=0,"N/A",(AN90)/AJ90)</f>
        <v>0</v>
      </c>
      <c r="AP90" s="17">
        <f t="shared" ref="AP90" si="575">+AJ90-AN90</f>
        <v>140109.45000000001</v>
      </c>
      <c r="AQ90" s="33"/>
      <c r="AR90" s="128"/>
      <c r="AS90" s="128"/>
      <c r="AT90" s="128"/>
    </row>
    <row r="91" spans="1:46" s="2" customFormat="1" ht="25.5">
      <c r="A91" s="45" t="s">
        <v>378</v>
      </c>
      <c r="B91" s="38" t="s">
        <v>99</v>
      </c>
      <c r="C91" s="38" t="s">
        <v>99</v>
      </c>
      <c r="D91" s="14" t="s">
        <v>379</v>
      </c>
      <c r="E91" s="36" t="s">
        <v>380</v>
      </c>
      <c r="F91" s="46" t="s">
        <v>214</v>
      </c>
      <c r="G91" s="14"/>
      <c r="H91" s="48" t="s">
        <v>96</v>
      </c>
      <c r="I91" s="48">
        <v>15</v>
      </c>
      <c r="J91" s="48">
        <v>65</v>
      </c>
      <c r="K91" s="48">
        <v>15</v>
      </c>
      <c r="L91" s="16" t="s">
        <v>366</v>
      </c>
      <c r="M91" s="11" t="s">
        <v>53</v>
      </c>
      <c r="N91" s="14" t="s">
        <v>377</v>
      </c>
      <c r="O91" s="47">
        <v>42542</v>
      </c>
      <c r="P91" s="15"/>
      <c r="Q91" s="16"/>
      <c r="R91" s="14" t="s">
        <v>55</v>
      </c>
      <c r="S91" s="29">
        <v>42381</v>
      </c>
      <c r="T91" s="12" t="s">
        <v>43</v>
      </c>
      <c r="U91" s="10" t="s">
        <v>56</v>
      </c>
      <c r="V91" s="24">
        <f t="shared" ref="V91" si="576">+SUM(W91:AA91)</f>
        <v>646659</v>
      </c>
      <c r="W91" s="24">
        <v>290996.55</v>
      </c>
      <c r="X91" s="50">
        <v>161664.75</v>
      </c>
      <c r="Y91" s="24">
        <v>176747.7</v>
      </c>
      <c r="Z91" s="24">
        <v>17250</v>
      </c>
      <c r="AA91" s="24">
        <v>0</v>
      </c>
      <c r="AB91" s="24">
        <f t="shared" ref="AB91" si="577">+SUM(AC91:AG91)</f>
        <v>0</v>
      </c>
      <c r="AC91" s="24">
        <v>0</v>
      </c>
      <c r="AD91" s="50">
        <v>0</v>
      </c>
      <c r="AE91" s="24">
        <v>0</v>
      </c>
      <c r="AF91" s="24">
        <v>0</v>
      </c>
      <c r="AG91" s="24">
        <v>0</v>
      </c>
      <c r="AH91" s="22">
        <f t="shared" ref="AH91" si="578">+SUM(AI91:AM91)</f>
        <v>646659</v>
      </c>
      <c r="AI91" s="22">
        <f t="shared" ref="AI91" si="579">+W91+AC91</f>
        <v>290996.55</v>
      </c>
      <c r="AJ91" s="37">
        <f t="shared" ref="AJ91" si="580">+X91+AD91</f>
        <v>161664.75</v>
      </c>
      <c r="AK91" s="22">
        <f t="shared" ref="AK91" si="581">+Y91+AE91</f>
        <v>176747.7</v>
      </c>
      <c r="AL91" s="22">
        <f t="shared" ref="AL91" si="582">+Z91+AF91</f>
        <v>17250</v>
      </c>
      <c r="AM91" s="22">
        <f t="shared" ref="AM91" si="583">+AA91+AG91</f>
        <v>0</v>
      </c>
      <c r="AN91" s="53">
        <v>0</v>
      </c>
      <c r="AO91" s="13">
        <f t="shared" ref="AO91" si="584">+IF(AJ91=0,"N/A",(AN91)/AJ91)</f>
        <v>0</v>
      </c>
      <c r="AP91" s="17">
        <f t="shared" ref="AP91" si="585">+AJ91-AN91</f>
        <v>161664.75</v>
      </c>
      <c r="AQ91" s="33"/>
      <c r="AR91" s="128"/>
      <c r="AS91" s="128"/>
      <c r="AT91" s="128"/>
    </row>
    <row r="92" spans="1:46" s="2" customFormat="1" ht="25.5">
      <c r="A92" s="45" t="s">
        <v>381</v>
      </c>
      <c r="B92" s="38" t="s">
        <v>99</v>
      </c>
      <c r="C92" s="38" t="s">
        <v>99</v>
      </c>
      <c r="D92" s="14" t="s">
        <v>382</v>
      </c>
      <c r="E92" s="36" t="s">
        <v>383</v>
      </c>
      <c r="F92" s="46" t="s">
        <v>214</v>
      </c>
      <c r="G92" s="14"/>
      <c r="H92" s="48" t="s">
        <v>96</v>
      </c>
      <c r="I92" s="48">
        <v>7</v>
      </c>
      <c r="J92" s="48">
        <v>34</v>
      </c>
      <c r="K92" s="48">
        <v>7</v>
      </c>
      <c r="L92" s="16" t="s">
        <v>366</v>
      </c>
      <c r="M92" s="11" t="s">
        <v>53</v>
      </c>
      <c r="N92" s="14" t="s">
        <v>377</v>
      </c>
      <c r="O92" s="47">
        <v>42542</v>
      </c>
      <c r="P92" s="15"/>
      <c r="Q92" s="16"/>
      <c r="R92" s="14" t="s">
        <v>55</v>
      </c>
      <c r="S92" s="29">
        <v>42381</v>
      </c>
      <c r="T92" s="12" t="s">
        <v>43</v>
      </c>
      <c r="U92" s="10" t="s">
        <v>56</v>
      </c>
      <c r="V92" s="24">
        <f t="shared" ref="V92" si="586">+SUM(W92:AA92)</f>
        <v>301774.2</v>
      </c>
      <c r="W92" s="24">
        <v>135798.39000000001</v>
      </c>
      <c r="X92" s="50">
        <v>75443.55</v>
      </c>
      <c r="Y92" s="24">
        <v>82482.259999999995</v>
      </c>
      <c r="Z92" s="24">
        <v>8050</v>
      </c>
      <c r="AA92" s="24">
        <v>0</v>
      </c>
      <c r="AB92" s="24">
        <f t="shared" ref="AB92" si="587">+SUM(AC92:AG92)</f>
        <v>0</v>
      </c>
      <c r="AC92" s="24">
        <v>0</v>
      </c>
      <c r="AD92" s="50">
        <v>0</v>
      </c>
      <c r="AE92" s="24">
        <v>0</v>
      </c>
      <c r="AF92" s="24">
        <v>0</v>
      </c>
      <c r="AG92" s="24">
        <v>0</v>
      </c>
      <c r="AH92" s="22">
        <f t="shared" ref="AH92" si="588">+SUM(AI92:AM92)</f>
        <v>301774.2</v>
      </c>
      <c r="AI92" s="22">
        <f t="shared" ref="AI92" si="589">+W92+AC92</f>
        <v>135798.39000000001</v>
      </c>
      <c r="AJ92" s="37">
        <f t="shared" ref="AJ92" si="590">+X92+AD92</f>
        <v>75443.55</v>
      </c>
      <c r="AK92" s="22">
        <f t="shared" ref="AK92" si="591">+Y92+AE92</f>
        <v>82482.259999999995</v>
      </c>
      <c r="AL92" s="22">
        <f t="shared" ref="AL92" si="592">+Z92+AF92</f>
        <v>8050</v>
      </c>
      <c r="AM92" s="22">
        <f t="shared" ref="AM92" si="593">+AA92+AG92</f>
        <v>0</v>
      </c>
      <c r="AN92" s="53">
        <v>0</v>
      </c>
      <c r="AO92" s="13">
        <f t="shared" ref="AO92" si="594">+IF(AJ92=0,"N/A",(AN92)/AJ92)</f>
        <v>0</v>
      </c>
      <c r="AP92" s="17">
        <f t="shared" ref="AP92" si="595">+AJ92-AN92</f>
        <v>75443.55</v>
      </c>
      <c r="AQ92" s="33"/>
      <c r="AR92" s="128"/>
      <c r="AS92" s="128"/>
      <c r="AT92" s="128"/>
    </row>
    <row r="93" spans="1:46" s="2" customFormat="1" ht="25.5">
      <c r="A93" s="45" t="s">
        <v>384</v>
      </c>
      <c r="B93" s="38" t="s">
        <v>99</v>
      </c>
      <c r="C93" s="38" t="s">
        <v>99</v>
      </c>
      <c r="D93" s="14" t="s">
        <v>385</v>
      </c>
      <c r="E93" s="36" t="s">
        <v>386</v>
      </c>
      <c r="F93" s="46" t="s">
        <v>214</v>
      </c>
      <c r="G93" s="14"/>
      <c r="H93" s="48" t="s">
        <v>96</v>
      </c>
      <c r="I93" s="48">
        <v>15</v>
      </c>
      <c r="J93" s="48">
        <v>66</v>
      </c>
      <c r="K93" s="48">
        <v>15</v>
      </c>
      <c r="L93" s="16" t="s">
        <v>366</v>
      </c>
      <c r="M93" s="11" t="s">
        <v>53</v>
      </c>
      <c r="N93" s="14" t="s">
        <v>377</v>
      </c>
      <c r="O93" s="47">
        <v>42542</v>
      </c>
      <c r="P93" s="15"/>
      <c r="Q93" s="16"/>
      <c r="R93" s="14" t="s">
        <v>55</v>
      </c>
      <c r="S93" s="29">
        <v>42381</v>
      </c>
      <c r="T93" s="12" t="s">
        <v>43</v>
      </c>
      <c r="U93" s="10" t="s">
        <v>56</v>
      </c>
      <c r="V93" s="24">
        <f t="shared" ref="V93" si="596">+SUM(W93:AA93)</f>
        <v>646659</v>
      </c>
      <c r="W93" s="24">
        <v>290996.55</v>
      </c>
      <c r="X93" s="50">
        <v>161664.75</v>
      </c>
      <c r="Y93" s="24">
        <v>176747.7</v>
      </c>
      <c r="Z93" s="24">
        <v>17250</v>
      </c>
      <c r="AA93" s="24">
        <v>0</v>
      </c>
      <c r="AB93" s="24">
        <f t="shared" ref="AB93" si="597">+SUM(AC93:AG93)</f>
        <v>0</v>
      </c>
      <c r="AC93" s="24">
        <v>0</v>
      </c>
      <c r="AD93" s="50">
        <v>0</v>
      </c>
      <c r="AE93" s="24">
        <v>0</v>
      </c>
      <c r="AF93" s="24">
        <v>0</v>
      </c>
      <c r="AG93" s="24">
        <v>0</v>
      </c>
      <c r="AH93" s="22">
        <f t="shared" ref="AH93" si="598">+SUM(AI93:AM93)</f>
        <v>646659</v>
      </c>
      <c r="AI93" s="22">
        <f t="shared" ref="AI93" si="599">+W93+AC93</f>
        <v>290996.55</v>
      </c>
      <c r="AJ93" s="37">
        <f t="shared" ref="AJ93" si="600">+X93+AD93</f>
        <v>161664.75</v>
      </c>
      <c r="AK93" s="22">
        <f t="shared" ref="AK93" si="601">+Y93+AE93</f>
        <v>176747.7</v>
      </c>
      <c r="AL93" s="22">
        <f t="shared" ref="AL93" si="602">+Z93+AF93</f>
        <v>17250</v>
      </c>
      <c r="AM93" s="22">
        <f t="shared" ref="AM93" si="603">+AA93+AG93</f>
        <v>0</v>
      </c>
      <c r="AN93" s="53">
        <v>0</v>
      </c>
      <c r="AO93" s="13">
        <f t="shared" ref="AO93" si="604">+IF(AJ93=0,"N/A",(AN93)/AJ93)</f>
        <v>0</v>
      </c>
      <c r="AP93" s="17">
        <f t="shared" ref="AP93" si="605">+AJ93-AN93</f>
        <v>161664.75</v>
      </c>
      <c r="AQ93" s="33"/>
      <c r="AR93" s="128"/>
      <c r="AS93" s="128"/>
      <c r="AT93" s="128"/>
    </row>
    <row r="94" spans="1:46" s="2" customFormat="1" ht="25.5">
      <c r="A94" s="45" t="s">
        <v>387</v>
      </c>
      <c r="B94" s="38" t="s">
        <v>121</v>
      </c>
      <c r="C94" s="38" t="s">
        <v>121</v>
      </c>
      <c r="D94" s="14" t="s">
        <v>388</v>
      </c>
      <c r="E94" s="36" t="s">
        <v>389</v>
      </c>
      <c r="F94" s="46" t="s">
        <v>214</v>
      </c>
      <c r="G94" s="14"/>
      <c r="H94" s="48" t="s">
        <v>96</v>
      </c>
      <c r="I94" s="48">
        <v>5</v>
      </c>
      <c r="J94" s="48">
        <v>24</v>
      </c>
      <c r="K94" s="48">
        <v>5</v>
      </c>
      <c r="L94" s="16" t="s">
        <v>366</v>
      </c>
      <c r="M94" s="11" t="s">
        <v>53</v>
      </c>
      <c r="N94" s="14" t="s">
        <v>390</v>
      </c>
      <c r="O94" s="47">
        <v>42542</v>
      </c>
      <c r="P94" s="15"/>
      <c r="Q94" s="16"/>
      <c r="R94" s="14" t="s">
        <v>55</v>
      </c>
      <c r="S94" s="29">
        <v>42381</v>
      </c>
      <c r="T94" s="12" t="s">
        <v>43</v>
      </c>
      <c r="U94" s="10" t="s">
        <v>56</v>
      </c>
      <c r="V94" s="24">
        <f t="shared" ref="V94" si="606">+SUM(W94:AA94)</f>
        <v>215553</v>
      </c>
      <c r="W94" s="24">
        <v>96998.85</v>
      </c>
      <c r="X94" s="50">
        <v>53888.25</v>
      </c>
      <c r="Y94" s="24">
        <v>58915.9</v>
      </c>
      <c r="Z94" s="24">
        <v>5750</v>
      </c>
      <c r="AA94" s="24">
        <v>0</v>
      </c>
      <c r="AB94" s="24">
        <f t="shared" ref="AB94" si="607">+SUM(AC94:AG94)</f>
        <v>0</v>
      </c>
      <c r="AC94" s="24">
        <v>0</v>
      </c>
      <c r="AD94" s="50">
        <v>0</v>
      </c>
      <c r="AE94" s="24">
        <v>0</v>
      </c>
      <c r="AF94" s="24">
        <v>0</v>
      </c>
      <c r="AG94" s="24">
        <v>0</v>
      </c>
      <c r="AH94" s="22">
        <f t="shared" ref="AH94" si="608">+SUM(AI94:AM94)</f>
        <v>215553</v>
      </c>
      <c r="AI94" s="22">
        <f t="shared" ref="AI94" si="609">+W94+AC94</f>
        <v>96998.85</v>
      </c>
      <c r="AJ94" s="37">
        <f t="shared" ref="AJ94" si="610">+X94+AD94</f>
        <v>53888.25</v>
      </c>
      <c r="AK94" s="22">
        <f t="shared" ref="AK94" si="611">+Y94+AE94</f>
        <v>58915.9</v>
      </c>
      <c r="AL94" s="22">
        <f t="shared" ref="AL94" si="612">+Z94+AF94</f>
        <v>5750</v>
      </c>
      <c r="AM94" s="22">
        <f t="shared" ref="AM94" si="613">+AA94+AG94</f>
        <v>0</v>
      </c>
      <c r="AN94" s="53">
        <v>0</v>
      </c>
      <c r="AO94" s="13">
        <f t="shared" ref="AO94" si="614">+IF(AJ94=0,"N/A",(AN94)/AJ94)</f>
        <v>0</v>
      </c>
      <c r="AP94" s="17">
        <f t="shared" ref="AP94" si="615">+AJ94-AN94</f>
        <v>53888.25</v>
      </c>
      <c r="AQ94" s="33"/>
      <c r="AR94" s="128"/>
      <c r="AS94" s="128"/>
      <c r="AT94" s="128"/>
    </row>
    <row r="95" spans="1:46" s="2" customFormat="1" ht="25.5">
      <c r="A95" s="45" t="s">
        <v>391</v>
      </c>
      <c r="B95" s="38" t="s">
        <v>121</v>
      </c>
      <c r="C95" s="38" t="s">
        <v>121</v>
      </c>
      <c r="D95" s="14" t="s">
        <v>392</v>
      </c>
      <c r="E95" s="36" t="s">
        <v>393</v>
      </c>
      <c r="F95" s="46" t="s">
        <v>214</v>
      </c>
      <c r="G95" s="14"/>
      <c r="H95" s="48" t="s">
        <v>96</v>
      </c>
      <c r="I95" s="48">
        <v>3</v>
      </c>
      <c r="J95" s="48">
        <v>11</v>
      </c>
      <c r="K95" s="48">
        <v>3</v>
      </c>
      <c r="L95" s="16" t="s">
        <v>366</v>
      </c>
      <c r="M95" s="11" t="s">
        <v>53</v>
      </c>
      <c r="N95" s="14" t="s">
        <v>390</v>
      </c>
      <c r="O95" s="47">
        <v>42542</v>
      </c>
      <c r="P95" s="15"/>
      <c r="Q95" s="16"/>
      <c r="R95" s="14" t="s">
        <v>55</v>
      </c>
      <c r="S95" s="29">
        <v>42381</v>
      </c>
      <c r="T95" s="12" t="s">
        <v>43</v>
      </c>
      <c r="U95" s="10" t="s">
        <v>56</v>
      </c>
      <c r="V95" s="24">
        <f t="shared" ref="V95" si="616">+SUM(W95:AA95)</f>
        <v>129331.79999999999</v>
      </c>
      <c r="W95" s="24">
        <v>58199.31</v>
      </c>
      <c r="X95" s="50">
        <v>32332.95</v>
      </c>
      <c r="Y95" s="24">
        <v>35349.54</v>
      </c>
      <c r="Z95" s="24">
        <v>3450</v>
      </c>
      <c r="AA95" s="24">
        <v>0</v>
      </c>
      <c r="AB95" s="24">
        <f t="shared" ref="AB95" si="617">+SUM(AC95:AG95)</f>
        <v>0</v>
      </c>
      <c r="AC95" s="24">
        <v>0</v>
      </c>
      <c r="AD95" s="50">
        <v>0</v>
      </c>
      <c r="AE95" s="24">
        <v>0</v>
      </c>
      <c r="AF95" s="24">
        <v>0</v>
      </c>
      <c r="AG95" s="24">
        <v>0</v>
      </c>
      <c r="AH95" s="22">
        <f t="shared" ref="AH95" si="618">+SUM(AI95:AM95)</f>
        <v>129331.79999999999</v>
      </c>
      <c r="AI95" s="22">
        <f t="shared" ref="AI95" si="619">+W95+AC95</f>
        <v>58199.31</v>
      </c>
      <c r="AJ95" s="37">
        <f t="shared" ref="AJ95" si="620">+X95+AD95</f>
        <v>32332.95</v>
      </c>
      <c r="AK95" s="22">
        <f t="shared" ref="AK95" si="621">+Y95+AE95</f>
        <v>35349.54</v>
      </c>
      <c r="AL95" s="22">
        <f t="shared" ref="AL95" si="622">+Z95+AF95</f>
        <v>3450</v>
      </c>
      <c r="AM95" s="22">
        <f t="shared" ref="AM95" si="623">+AA95+AG95</f>
        <v>0</v>
      </c>
      <c r="AN95" s="53">
        <v>0</v>
      </c>
      <c r="AO95" s="13">
        <f t="shared" ref="AO95" si="624">+IF(AJ95=0,"N/A",(AN95)/AJ95)</f>
        <v>0</v>
      </c>
      <c r="AP95" s="17">
        <f t="shared" ref="AP95" si="625">+AJ95-AN95</f>
        <v>32332.95</v>
      </c>
      <c r="AQ95" s="33"/>
      <c r="AR95" s="128"/>
      <c r="AS95" s="128"/>
      <c r="AT95" s="128"/>
    </row>
    <row r="96" spans="1:46" s="2" customFormat="1" ht="25.5">
      <c r="A96" s="45" t="s">
        <v>394</v>
      </c>
      <c r="B96" s="38" t="s">
        <v>121</v>
      </c>
      <c r="C96" s="38" t="s">
        <v>121</v>
      </c>
      <c r="D96" s="14" t="s">
        <v>395</v>
      </c>
      <c r="E96" s="36" t="s">
        <v>396</v>
      </c>
      <c r="F96" s="46" t="s">
        <v>214</v>
      </c>
      <c r="G96" s="14"/>
      <c r="H96" s="48" t="s">
        <v>96</v>
      </c>
      <c r="I96" s="48">
        <v>2</v>
      </c>
      <c r="J96" s="48">
        <v>6</v>
      </c>
      <c r="K96" s="48">
        <v>2</v>
      </c>
      <c r="L96" s="16" t="s">
        <v>366</v>
      </c>
      <c r="M96" s="11" t="s">
        <v>53</v>
      </c>
      <c r="N96" s="14" t="s">
        <v>390</v>
      </c>
      <c r="O96" s="47">
        <v>42542</v>
      </c>
      <c r="P96" s="15"/>
      <c r="Q96" s="16"/>
      <c r="R96" s="14" t="s">
        <v>55</v>
      </c>
      <c r="S96" s="29">
        <v>42381</v>
      </c>
      <c r="T96" s="12" t="s">
        <v>43</v>
      </c>
      <c r="U96" s="10" t="s">
        <v>56</v>
      </c>
      <c r="V96" s="24">
        <f t="shared" ref="V96" si="626">+SUM(W96:AA96)</f>
        <v>86221.2</v>
      </c>
      <c r="W96" s="24">
        <v>38799.54</v>
      </c>
      <c r="X96" s="50">
        <v>21555.3</v>
      </c>
      <c r="Y96" s="24">
        <v>23566.36</v>
      </c>
      <c r="Z96" s="24">
        <v>2300</v>
      </c>
      <c r="AA96" s="24">
        <v>0</v>
      </c>
      <c r="AB96" s="24">
        <f t="shared" ref="AB96" si="627">+SUM(AC96:AG96)</f>
        <v>0</v>
      </c>
      <c r="AC96" s="24">
        <v>0</v>
      </c>
      <c r="AD96" s="50">
        <v>0</v>
      </c>
      <c r="AE96" s="24">
        <v>0</v>
      </c>
      <c r="AF96" s="24">
        <v>0</v>
      </c>
      <c r="AG96" s="24">
        <v>0</v>
      </c>
      <c r="AH96" s="22">
        <f t="shared" ref="AH96" si="628">+SUM(AI96:AM96)</f>
        <v>86221.2</v>
      </c>
      <c r="AI96" s="22">
        <f t="shared" ref="AI96" si="629">+W96+AC96</f>
        <v>38799.54</v>
      </c>
      <c r="AJ96" s="37">
        <f t="shared" ref="AJ96" si="630">+X96+AD96</f>
        <v>21555.3</v>
      </c>
      <c r="AK96" s="22">
        <f t="shared" ref="AK96" si="631">+Y96+AE96</f>
        <v>23566.36</v>
      </c>
      <c r="AL96" s="22">
        <f t="shared" ref="AL96" si="632">+Z96+AF96</f>
        <v>2300</v>
      </c>
      <c r="AM96" s="22">
        <f t="shared" ref="AM96" si="633">+AA96+AG96</f>
        <v>0</v>
      </c>
      <c r="AN96" s="53">
        <v>0</v>
      </c>
      <c r="AO96" s="13">
        <f t="shared" ref="AO96" si="634">+IF(AJ96=0,"N/A",(AN96)/AJ96)</f>
        <v>0</v>
      </c>
      <c r="AP96" s="17">
        <f t="shared" ref="AP96" si="635">+AJ96-AN96</f>
        <v>21555.3</v>
      </c>
      <c r="AQ96" s="33"/>
      <c r="AR96" s="128"/>
      <c r="AS96" s="128"/>
      <c r="AT96" s="128"/>
    </row>
    <row r="97" spans="1:46" s="2" customFormat="1" ht="25.5">
      <c r="A97" s="45" t="s">
        <v>397</v>
      </c>
      <c r="B97" s="38" t="s">
        <v>121</v>
      </c>
      <c r="C97" s="38" t="s">
        <v>121</v>
      </c>
      <c r="D97" s="14" t="s">
        <v>398</v>
      </c>
      <c r="E97" s="36" t="s">
        <v>399</v>
      </c>
      <c r="F97" s="46" t="s">
        <v>214</v>
      </c>
      <c r="G97" s="14"/>
      <c r="H97" s="48" t="s">
        <v>96</v>
      </c>
      <c r="I97" s="48">
        <v>5</v>
      </c>
      <c r="J97" s="48">
        <v>23</v>
      </c>
      <c r="K97" s="48">
        <v>5</v>
      </c>
      <c r="L97" s="16" t="s">
        <v>366</v>
      </c>
      <c r="M97" s="11" t="s">
        <v>53</v>
      </c>
      <c r="N97" s="14" t="s">
        <v>390</v>
      </c>
      <c r="O97" s="47">
        <v>42542</v>
      </c>
      <c r="P97" s="15"/>
      <c r="Q97" s="16"/>
      <c r="R97" s="14" t="s">
        <v>55</v>
      </c>
      <c r="S97" s="29">
        <v>42381</v>
      </c>
      <c r="T97" s="12" t="s">
        <v>43</v>
      </c>
      <c r="U97" s="10" t="s">
        <v>56</v>
      </c>
      <c r="V97" s="24">
        <f t="shared" ref="V97" si="636">+SUM(W97:AA97)</f>
        <v>215553</v>
      </c>
      <c r="W97" s="24">
        <v>96998.85</v>
      </c>
      <c r="X97" s="50">
        <v>53888.25</v>
      </c>
      <c r="Y97" s="24">
        <v>58915.9</v>
      </c>
      <c r="Z97" s="24">
        <v>5750</v>
      </c>
      <c r="AA97" s="24">
        <v>0</v>
      </c>
      <c r="AB97" s="24">
        <f t="shared" ref="AB97" si="637">+SUM(AC97:AG97)</f>
        <v>0</v>
      </c>
      <c r="AC97" s="24">
        <v>0</v>
      </c>
      <c r="AD97" s="50">
        <v>0</v>
      </c>
      <c r="AE97" s="24">
        <v>0</v>
      </c>
      <c r="AF97" s="24">
        <v>0</v>
      </c>
      <c r="AG97" s="24">
        <v>0</v>
      </c>
      <c r="AH97" s="22">
        <f t="shared" ref="AH97" si="638">+SUM(AI97:AM97)</f>
        <v>215553</v>
      </c>
      <c r="AI97" s="22">
        <f t="shared" ref="AI97" si="639">+W97+AC97</f>
        <v>96998.85</v>
      </c>
      <c r="AJ97" s="37">
        <f t="shared" ref="AJ97" si="640">+X97+AD97</f>
        <v>53888.25</v>
      </c>
      <c r="AK97" s="22">
        <f t="shared" ref="AK97" si="641">+Y97+AE97</f>
        <v>58915.9</v>
      </c>
      <c r="AL97" s="22">
        <f t="shared" ref="AL97" si="642">+Z97+AF97</f>
        <v>5750</v>
      </c>
      <c r="AM97" s="22">
        <f t="shared" ref="AM97" si="643">+AA97+AG97</f>
        <v>0</v>
      </c>
      <c r="AN97" s="53">
        <v>0</v>
      </c>
      <c r="AO97" s="13">
        <f t="shared" ref="AO97" si="644">+IF(AJ97=0,"N/A",(AN97)/AJ97)</f>
        <v>0</v>
      </c>
      <c r="AP97" s="17">
        <f t="shared" ref="AP97" si="645">+AJ97-AN97</f>
        <v>53888.25</v>
      </c>
      <c r="AQ97" s="33"/>
      <c r="AR97" s="128"/>
      <c r="AS97" s="128"/>
      <c r="AT97" s="128"/>
    </row>
    <row r="98" spans="1:46" s="2" customFormat="1" ht="38.25">
      <c r="A98" s="45" t="s">
        <v>400</v>
      </c>
      <c r="B98" s="38" t="s">
        <v>121</v>
      </c>
      <c r="C98" s="38" t="s">
        <v>121</v>
      </c>
      <c r="D98" s="14" t="s">
        <v>401</v>
      </c>
      <c r="E98" s="36" t="s">
        <v>402</v>
      </c>
      <c r="F98" s="46" t="s">
        <v>214</v>
      </c>
      <c r="G98" s="14"/>
      <c r="H98" s="48" t="s">
        <v>96</v>
      </c>
      <c r="I98" s="48">
        <v>1</v>
      </c>
      <c r="J98" s="48">
        <v>4</v>
      </c>
      <c r="K98" s="48">
        <v>1</v>
      </c>
      <c r="L98" s="16" t="s">
        <v>366</v>
      </c>
      <c r="M98" s="11" t="s">
        <v>53</v>
      </c>
      <c r="N98" s="14" t="s">
        <v>390</v>
      </c>
      <c r="O98" s="47">
        <v>42542</v>
      </c>
      <c r="P98" s="15"/>
      <c r="Q98" s="16"/>
      <c r="R98" s="14" t="s">
        <v>55</v>
      </c>
      <c r="S98" s="29">
        <v>42381</v>
      </c>
      <c r="T98" s="12" t="s">
        <v>43</v>
      </c>
      <c r="U98" s="10" t="s">
        <v>56</v>
      </c>
      <c r="V98" s="24">
        <f t="shared" ref="V98" si="646">+SUM(W98:AA98)</f>
        <v>43110.6</v>
      </c>
      <c r="W98" s="24">
        <v>19399.77</v>
      </c>
      <c r="X98" s="50">
        <v>10777.65</v>
      </c>
      <c r="Y98" s="24">
        <v>11783.18</v>
      </c>
      <c r="Z98" s="24">
        <v>1150</v>
      </c>
      <c r="AA98" s="24">
        <v>0</v>
      </c>
      <c r="AB98" s="24">
        <f t="shared" ref="AB98" si="647">+SUM(AC98:AG98)</f>
        <v>0</v>
      </c>
      <c r="AC98" s="24">
        <v>0</v>
      </c>
      <c r="AD98" s="50">
        <v>0</v>
      </c>
      <c r="AE98" s="24">
        <v>0</v>
      </c>
      <c r="AF98" s="24">
        <v>0</v>
      </c>
      <c r="AG98" s="24">
        <v>0</v>
      </c>
      <c r="AH98" s="22">
        <f t="shared" ref="AH98" si="648">+SUM(AI98:AM98)</f>
        <v>43110.6</v>
      </c>
      <c r="AI98" s="22">
        <f t="shared" ref="AI98" si="649">+W98+AC98</f>
        <v>19399.77</v>
      </c>
      <c r="AJ98" s="37">
        <f t="shared" ref="AJ98" si="650">+X98+AD98</f>
        <v>10777.65</v>
      </c>
      <c r="AK98" s="22">
        <f t="shared" ref="AK98" si="651">+Y98+AE98</f>
        <v>11783.18</v>
      </c>
      <c r="AL98" s="22">
        <f t="shared" ref="AL98" si="652">+Z98+AF98</f>
        <v>1150</v>
      </c>
      <c r="AM98" s="22">
        <f t="shared" ref="AM98" si="653">+AA98+AG98</f>
        <v>0</v>
      </c>
      <c r="AN98" s="53">
        <v>0</v>
      </c>
      <c r="AO98" s="13">
        <f t="shared" ref="AO98" si="654">+IF(AJ98=0,"N/A",(AN98)/AJ98)</f>
        <v>0</v>
      </c>
      <c r="AP98" s="17">
        <f t="shared" ref="AP98" si="655">+AJ98-AN98</f>
        <v>10777.65</v>
      </c>
      <c r="AQ98" s="33"/>
      <c r="AR98" s="128"/>
      <c r="AS98" s="128"/>
      <c r="AT98" s="128"/>
    </row>
    <row r="99" spans="1:46" s="2" customFormat="1" ht="38.25">
      <c r="A99" s="45" t="s">
        <v>403</v>
      </c>
      <c r="B99" s="38" t="s">
        <v>121</v>
      </c>
      <c r="C99" s="38" t="s">
        <v>121</v>
      </c>
      <c r="D99" s="14" t="s">
        <v>404</v>
      </c>
      <c r="E99" s="36" t="s">
        <v>405</v>
      </c>
      <c r="F99" s="46" t="s">
        <v>214</v>
      </c>
      <c r="G99" s="14"/>
      <c r="H99" s="48" t="s">
        <v>96</v>
      </c>
      <c r="I99" s="48">
        <v>1</v>
      </c>
      <c r="J99" s="48">
        <v>4</v>
      </c>
      <c r="K99" s="48">
        <v>1</v>
      </c>
      <c r="L99" s="16" t="s">
        <v>366</v>
      </c>
      <c r="M99" s="11" t="s">
        <v>53</v>
      </c>
      <c r="N99" s="14" t="s">
        <v>390</v>
      </c>
      <c r="O99" s="47">
        <v>42542</v>
      </c>
      <c r="P99" s="15"/>
      <c r="Q99" s="16"/>
      <c r="R99" s="14" t="s">
        <v>55</v>
      </c>
      <c r="S99" s="29">
        <v>42381</v>
      </c>
      <c r="T99" s="12" t="s">
        <v>43</v>
      </c>
      <c r="U99" s="10" t="s">
        <v>56</v>
      </c>
      <c r="V99" s="24">
        <f t="shared" ref="V99" si="656">+SUM(W99:AA99)</f>
        <v>43110.6</v>
      </c>
      <c r="W99" s="24">
        <v>19399.77</v>
      </c>
      <c r="X99" s="50">
        <v>10777.65</v>
      </c>
      <c r="Y99" s="24">
        <v>11783.18</v>
      </c>
      <c r="Z99" s="24">
        <v>1150</v>
      </c>
      <c r="AA99" s="24">
        <v>0</v>
      </c>
      <c r="AB99" s="24">
        <f t="shared" ref="AB99" si="657">+SUM(AC99:AG99)</f>
        <v>0</v>
      </c>
      <c r="AC99" s="24">
        <v>0</v>
      </c>
      <c r="AD99" s="50">
        <v>0</v>
      </c>
      <c r="AE99" s="24">
        <v>0</v>
      </c>
      <c r="AF99" s="24">
        <v>0</v>
      </c>
      <c r="AG99" s="24">
        <v>0</v>
      </c>
      <c r="AH99" s="22">
        <f t="shared" ref="AH99" si="658">+SUM(AI99:AM99)</f>
        <v>43110.6</v>
      </c>
      <c r="AI99" s="22">
        <f t="shared" ref="AI99" si="659">+W99+AC99</f>
        <v>19399.77</v>
      </c>
      <c r="AJ99" s="37">
        <f t="shared" ref="AJ99" si="660">+X99+AD99</f>
        <v>10777.65</v>
      </c>
      <c r="AK99" s="22">
        <f t="shared" ref="AK99" si="661">+Y99+AE99</f>
        <v>11783.18</v>
      </c>
      <c r="AL99" s="22">
        <f t="shared" ref="AL99" si="662">+Z99+AF99</f>
        <v>1150</v>
      </c>
      <c r="AM99" s="22">
        <f t="shared" ref="AM99" si="663">+AA99+AG99</f>
        <v>0</v>
      </c>
      <c r="AN99" s="53">
        <v>0</v>
      </c>
      <c r="AO99" s="13">
        <f t="shared" ref="AO99" si="664">+IF(AJ99=0,"N/A",(AN99)/AJ99)</f>
        <v>0</v>
      </c>
      <c r="AP99" s="17">
        <f t="shared" ref="AP99" si="665">+AJ99-AN99</f>
        <v>10777.65</v>
      </c>
      <c r="AQ99" s="33"/>
      <c r="AR99" s="128"/>
      <c r="AS99" s="128"/>
      <c r="AT99" s="128"/>
    </row>
    <row r="100" spans="1:46" s="2" customFormat="1" ht="25.5">
      <c r="A100" s="45" t="s">
        <v>406</v>
      </c>
      <c r="B100" s="38" t="s">
        <v>121</v>
      </c>
      <c r="C100" s="38" t="s">
        <v>121</v>
      </c>
      <c r="D100" s="14" t="s">
        <v>407</v>
      </c>
      <c r="E100" s="36" t="s">
        <v>408</v>
      </c>
      <c r="F100" s="46" t="s">
        <v>214</v>
      </c>
      <c r="G100" s="14"/>
      <c r="H100" s="48" t="s">
        <v>96</v>
      </c>
      <c r="I100" s="48">
        <v>2</v>
      </c>
      <c r="J100" s="48">
        <v>8</v>
      </c>
      <c r="K100" s="48">
        <v>1</v>
      </c>
      <c r="L100" s="16" t="s">
        <v>366</v>
      </c>
      <c r="M100" s="11" t="s">
        <v>53</v>
      </c>
      <c r="N100" s="14" t="s">
        <v>390</v>
      </c>
      <c r="O100" s="47">
        <v>42542</v>
      </c>
      <c r="P100" s="15"/>
      <c r="Q100" s="16"/>
      <c r="R100" s="14" t="s">
        <v>55</v>
      </c>
      <c r="S100" s="29">
        <v>42381</v>
      </c>
      <c r="T100" s="12" t="s">
        <v>43</v>
      </c>
      <c r="U100" s="10" t="s">
        <v>56</v>
      </c>
      <c r="V100" s="24">
        <f t="shared" ref="V100" si="666">+SUM(W100:AA100)</f>
        <v>86221.2</v>
      </c>
      <c r="W100" s="24">
        <v>38799.54</v>
      </c>
      <c r="X100" s="50">
        <v>21555.3</v>
      </c>
      <c r="Y100" s="24">
        <v>23566.36</v>
      </c>
      <c r="Z100" s="24">
        <v>2300</v>
      </c>
      <c r="AA100" s="24">
        <v>0</v>
      </c>
      <c r="AB100" s="24">
        <f t="shared" ref="AB100" si="667">+SUM(AC100:AG100)</f>
        <v>0</v>
      </c>
      <c r="AC100" s="24">
        <v>0</v>
      </c>
      <c r="AD100" s="50">
        <v>0</v>
      </c>
      <c r="AE100" s="24">
        <v>0</v>
      </c>
      <c r="AF100" s="24">
        <v>0</v>
      </c>
      <c r="AG100" s="24">
        <v>0</v>
      </c>
      <c r="AH100" s="22">
        <f t="shared" ref="AH100" si="668">+SUM(AI100:AM100)</f>
        <v>86221.2</v>
      </c>
      <c r="AI100" s="22">
        <f t="shared" ref="AI100" si="669">+W100+AC100</f>
        <v>38799.54</v>
      </c>
      <c r="AJ100" s="37">
        <f t="shared" ref="AJ100" si="670">+X100+AD100</f>
        <v>21555.3</v>
      </c>
      <c r="AK100" s="22">
        <f t="shared" ref="AK100" si="671">+Y100+AE100</f>
        <v>23566.36</v>
      </c>
      <c r="AL100" s="22">
        <f t="shared" ref="AL100" si="672">+Z100+AF100</f>
        <v>2300</v>
      </c>
      <c r="AM100" s="22">
        <f t="shared" ref="AM100" si="673">+AA100+AG100</f>
        <v>0</v>
      </c>
      <c r="AN100" s="53">
        <v>0</v>
      </c>
      <c r="AO100" s="13">
        <f t="shared" ref="AO100" si="674">+IF(AJ100=0,"N/A",(AN100)/AJ100)</f>
        <v>0</v>
      </c>
      <c r="AP100" s="17">
        <f t="shared" ref="AP100" si="675">+AJ100-AN100</f>
        <v>21555.3</v>
      </c>
      <c r="AQ100" s="33"/>
      <c r="AR100" s="128"/>
      <c r="AS100" s="128"/>
      <c r="AT100" s="128"/>
    </row>
    <row r="101" spans="1:46" s="2" customFormat="1" ht="25.5">
      <c r="A101" s="45" t="s">
        <v>409</v>
      </c>
      <c r="B101" s="38" t="s">
        <v>121</v>
      </c>
      <c r="C101" s="38" t="s">
        <v>121</v>
      </c>
      <c r="D101" s="14" t="s">
        <v>410</v>
      </c>
      <c r="E101" s="36" t="s">
        <v>411</v>
      </c>
      <c r="F101" s="46" t="s">
        <v>214</v>
      </c>
      <c r="G101" s="14"/>
      <c r="H101" s="48" t="s">
        <v>96</v>
      </c>
      <c r="I101" s="48">
        <v>1</v>
      </c>
      <c r="J101" s="48">
        <v>4</v>
      </c>
      <c r="K101" s="48">
        <v>1</v>
      </c>
      <c r="L101" s="16" t="s">
        <v>366</v>
      </c>
      <c r="M101" s="11" t="s">
        <v>53</v>
      </c>
      <c r="N101" s="14" t="s">
        <v>390</v>
      </c>
      <c r="O101" s="47">
        <v>42542</v>
      </c>
      <c r="P101" s="15"/>
      <c r="Q101" s="16"/>
      <c r="R101" s="14" t="s">
        <v>55</v>
      </c>
      <c r="S101" s="29">
        <v>42381</v>
      </c>
      <c r="T101" s="12" t="s">
        <v>43</v>
      </c>
      <c r="U101" s="10" t="s">
        <v>56</v>
      </c>
      <c r="V101" s="24">
        <f t="shared" ref="V101" si="676">+SUM(W101:AA101)</f>
        <v>43110.6</v>
      </c>
      <c r="W101" s="24">
        <v>19399.77</v>
      </c>
      <c r="X101" s="50">
        <v>10777.65</v>
      </c>
      <c r="Y101" s="24">
        <v>11783.18</v>
      </c>
      <c r="Z101" s="24">
        <v>1150</v>
      </c>
      <c r="AA101" s="24">
        <v>0</v>
      </c>
      <c r="AB101" s="24">
        <f t="shared" ref="AB101" si="677">+SUM(AC101:AG101)</f>
        <v>0</v>
      </c>
      <c r="AC101" s="24">
        <v>0</v>
      </c>
      <c r="AD101" s="50">
        <v>0</v>
      </c>
      <c r="AE101" s="24">
        <v>0</v>
      </c>
      <c r="AF101" s="24">
        <v>0</v>
      </c>
      <c r="AG101" s="24">
        <v>0</v>
      </c>
      <c r="AH101" s="22">
        <f t="shared" ref="AH101" si="678">+SUM(AI101:AM101)</f>
        <v>43110.6</v>
      </c>
      <c r="AI101" s="22">
        <f t="shared" ref="AI101" si="679">+W101+AC101</f>
        <v>19399.77</v>
      </c>
      <c r="AJ101" s="37">
        <f t="shared" ref="AJ101" si="680">+X101+AD101</f>
        <v>10777.65</v>
      </c>
      <c r="AK101" s="22">
        <f t="shared" ref="AK101" si="681">+Y101+AE101</f>
        <v>11783.18</v>
      </c>
      <c r="AL101" s="22">
        <f t="shared" ref="AL101" si="682">+Z101+AF101</f>
        <v>1150</v>
      </c>
      <c r="AM101" s="22">
        <f t="shared" ref="AM101" si="683">+AA101+AG101</f>
        <v>0</v>
      </c>
      <c r="AN101" s="53">
        <v>0</v>
      </c>
      <c r="AO101" s="13">
        <f t="shared" ref="AO101" si="684">+IF(AJ101=0,"N/A",(AN101)/AJ101)</f>
        <v>0</v>
      </c>
      <c r="AP101" s="17">
        <f t="shared" ref="AP101" si="685">+AJ101-AN101</f>
        <v>10777.65</v>
      </c>
      <c r="AQ101" s="33"/>
      <c r="AR101" s="128"/>
      <c r="AS101" s="128"/>
      <c r="AT101" s="128"/>
    </row>
    <row r="102" spans="1:46" s="2" customFormat="1" ht="25.5">
      <c r="A102" s="45" t="s">
        <v>412</v>
      </c>
      <c r="B102" s="38" t="s">
        <v>121</v>
      </c>
      <c r="C102" s="38" t="s">
        <v>121</v>
      </c>
      <c r="D102" s="14" t="s">
        <v>413</v>
      </c>
      <c r="E102" s="36" t="s">
        <v>414</v>
      </c>
      <c r="F102" s="46" t="s">
        <v>214</v>
      </c>
      <c r="G102" s="14"/>
      <c r="H102" s="48" t="s">
        <v>96</v>
      </c>
      <c r="I102" s="48">
        <v>8</v>
      </c>
      <c r="J102" s="48">
        <v>28</v>
      </c>
      <c r="K102" s="48">
        <v>8</v>
      </c>
      <c r="L102" s="16" t="s">
        <v>366</v>
      </c>
      <c r="M102" s="11" t="s">
        <v>53</v>
      </c>
      <c r="N102" s="14" t="s">
        <v>390</v>
      </c>
      <c r="O102" s="47">
        <v>42542</v>
      </c>
      <c r="P102" s="15"/>
      <c r="Q102" s="16"/>
      <c r="R102" s="14" t="s">
        <v>55</v>
      </c>
      <c r="S102" s="29">
        <v>42381</v>
      </c>
      <c r="T102" s="12" t="s">
        <v>43</v>
      </c>
      <c r="U102" s="10" t="s">
        <v>56</v>
      </c>
      <c r="V102" s="24">
        <f t="shared" ref="V102" si="686">+SUM(W102:AA102)</f>
        <v>344884.8</v>
      </c>
      <c r="W102" s="24">
        <v>155198.16</v>
      </c>
      <c r="X102" s="50">
        <v>86221.2</v>
      </c>
      <c r="Y102" s="24">
        <v>94265.44</v>
      </c>
      <c r="Z102" s="24">
        <v>9200</v>
      </c>
      <c r="AA102" s="24">
        <v>0</v>
      </c>
      <c r="AB102" s="24">
        <f t="shared" ref="AB102" si="687">+SUM(AC102:AG102)</f>
        <v>0</v>
      </c>
      <c r="AC102" s="24">
        <v>0</v>
      </c>
      <c r="AD102" s="50">
        <v>0</v>
      </c>
      <c r="AE102" s="24">
        <v>0</v>
      </c>
      <c r="AF102" s="24">
        <v>0</v>
      </c>
      <c r="AG102" s="24">
        <v>0</v>
      </c>
      <c r="AH102" s="22">
        <f t="shared" ref="AH102" si="688">+SUM(AI102:AM102)</f>
        <v>344884.8</v>
      </c>
      <c r="AI102" s="22">
        <f t="shared" ref="AI102" si="689">+W102+AC102</f>
        <v>155198.16</v>
      </c>
      <c r="AJ102" s="37">
        <f t="shared" ref="AJ102" si="690">+X102+AD102</f>
        <v>86221.2</v>
      </c>
      <c r="AK102" s="22">
        <f t="shared" ref="AK102" si="691">+Y102+AE102</f>
        <v>94265.44</v>
      </c>
      <c r="AL102" s="22">
        <f t="shared" ref="AL102" si="692">+Z102+AF102</f>
        <v>9200</v>
      </c>
      <c r="AM102" s="22">
        <f t="shared" ref="AM102" si="693">+AA102+AG102</f>
        <v>0</v>
      </c>
      <c r="AN102" s="53">
        <v>0</v>
      </c>
      <c r="AO102" s="13">
        <f t="shared" ref="AO102" si="694">+IF(AJ102=0,"N/A",(AN102)/AJ102)</f>
        <v>0</v>
      </c>
      <c r="AP102" s="17">
        <f t="shared" ref="AP102" si="695">+AJ102-AN102</f>
        <v>86221.2</v>
      </c>
      <c r="AQ102" s="33"/>
      <c r="AR102" s="128"/>
      <c r="AS102" s="128"/>
      <c r="AT102" s="128"/>
    </row>
    <row r="103" spans="1:46" s="2" customFormat="1" ht="25.5">
      <c r="A103" s="45" t="s">
        <v>415</v>
      </c>
      <c r="B103" s="38" t="s">
        <v>121</v>
      </c>
      <c r="C103" s="38" t="s">
        <v>121</v>
      </c>
      <c r="D103" s="14" t="s">
        <v>416</v>
      </c>
      <c r="E103" s="36" t="s">
        <v>417</v>
      </c>
      <c r="F103" s="46" t="s">
        <v>214</v>
      </c>
      <c r="G103" s="14"/>
      <c r="H103" s="48" t="s">
        <v>96</v>
      </c>
      <c r="I103" s="48">
        <v>5</v>
      </c>
      <c r="J103" s="48">
        <v>22</v>
      </c>
      <c r="K103" s="48">
        <v>5</v>
      </c>
      <c r="L103" s="16" t="s">
        <v>366</v>
      </c>
      <c r="M103" s="11" t="s">
        <v>53</v>
      </c>
      <c r="N103" s="14" t="s">
        <v>390</v>
      </c>
      <c r="O103" s="47">
        <v>42542</v>
      </c>
      <c r="P103" s="15"/>
      <c r="Q103" s="16"/>
      <c r="R103" s="14" t="s">
        <v>55</v>
      </c>
      <c r="S103" s="29">
        <v>42381</v>
      </c>
      <c r="T103" s="12" t="s">
        <v>43</v>
      </c>
      <c r="U103" s="10" t="s">
        <v>56</v>
      </c>
      <c r="V103" s="24">
        <f t="shared" ref="V103" si="696">+SUM(W103:AA103)</f>
        <v>215553</v>
      </c>
      <c r="W103" s="24">
        <v>96998.85</v>
      </c>
      <c r="X103" s="50">
        <v>53888.25</v>
      </c>
      <c r="Y103" s="24">
        <v>58915.9</v>
      </c>
      <c r="Z103" s="24">
        <v>5750</v>
      </c>
      <c r="AA103" s="24">
        <v>0</v>
      </c>
      <c r="AB103" s="24">
        <f t="shared" ref="AB103" si="697">+SUM(AC103:AG103)</f>
        <v>0</v>
      </c>
      <c r="AC103" s="24">
        <v>0</v>
      </c>
      <c r="AD103" s="50">
        <v>0</v>
      </c>
      <c r="AE103" s="24">
        <v>0</v>
      </c>
      <c r="AF103" s="24">
        <v>0</v>
      </c>
      <c r="AG103" s="24">
        <v>0</v>
      </c>
      <c r="AH103" s="22">
        <f t="shared" ref="AH103" si="698">+SUM(AI103:AM103)</f>
        <v>215553</v>
      </c>
      <c r="AI103" s="22">
        <f t="shared" ref="AI103" si="699">+W103+AC103</f>
        <v>96998.85</v>
      </c>
      <c r="AJ103" s="37">
        <f t="shared" ref="AJ103" si="700">+X103+AD103</f>
        <v>53888.25</v>
      </c>
      <c r="AK103" s="22">
        <f t="shared" ref="AK103" si="701">+Y103+AE103</f>
        <v>58915.9</v>
      </c>
      <c r="AL103" s="22">
        <f t="shared" ref="AL103" si="702">+Z103+AF103</f>
        <v>5750</v>
      </c>
      <c r="AM103" s="22">
        <f t="shared" ref="AM103" si="703">+AA103+AG103</f>
        <v>0</v>
      </c>
      <c r="AN103" s="53">
        <v>0</v>
      </c>
      <c r="AO103" s="13">
        <f t="shared" ref="AO103" si="704">+IF(AJ103=0,"N/A",(AN103)/AJ103)</f>
        <v>0</v>
      </c>
      <c r="AP103" s="17">
        <f t="shared" ref="AP103" si="705">+AJ103-AN103</f>
        <v>53888.25</v>
      </c>
      <c r="AQ103" s="33"/>
      <c r="AR103" s="128"/>
      <c r="AS103" s="128"/>
      <c r="AT103" s="128"/>
    </row>
    <row r="104" spans="1:46" s="2" customFormat="1" ht="38.25">
      <c r="A104" s="45" t="s">
        <v>418</v>
      </c>
      <c r="B104" s="38" t="s">
        <v>121</v>
      </c>
      <c r="C104" s="38" t="s">
        <v>121</v>
      </c>
      <c r="D104" s="14" t="s">
        <v>307</v>
      </c>
      <c r="E104" s="36" t="s">
        <v>419</v>
      </c>
      <c r="F104" s="46" t="s">
        <v>214</v>
      </c>
      <c r="G104" s="14"/>
      <c r="H104" s="48" t="s">
        <v>96</v>
      </c>
      <c r="I104" s="48">
        <v>10</v>
      </c>
      <c r="J104" s="48">
        <v>37</v>
      </c>
      <c r="K104" s="48">
        <v>10</v>
      </c>
      <c r="L104" s="16" t="s">
        <v>366</v>
      </c>
      <c r="M104" s="11" t="s">
        <v>53</v>
      </c>
      <c r="N104" s="14" t="s">
        <v>390</v>
      </c>
      <c r="O104" s="47">
        <v>42542</v>
      </c>
      <c r="P104" s="15"/>
      <c r="Q104" s="16"/>
      <c r="R104" s="14" t="s">
        <v>55</v>
      </c>
      <c r="S104" s="29">
        <v>42381</v>
      </c>
      <c r="T104" s="12" t="s">
        <v>43</v>
      </c>
      <c r="U104" s="10" t="s">
        <v>56</v>
      </c>
      <c r="V104" s="24">
        <f t="shared" ref="V104" si="706">+SUM(W104:AA104)</f>
        <v>431106</v>
      </c>
      <c r="W104" s="24">
        <v>193997.7</v>
      </c>
      <c r="X104" s="50">
        <v>107776.5</v>
      </c>
      <c r="Y104" s="24">
        <v>117831.8</v>
      </c>
      <c r="Z104" s="24">
        <v>11500</v>
      </c>
      <c r="AA104" s="24">
        <v>0</v>
      </c>
      <c r="AB104" s="24">
        <f t="shared" ref="AB104" si="707">+SUM(AC104:AG104)</f>
        <v>0</v>
      </c>
      <c r="AC104" s="24">
        <v>0</v>
      </c>
      <c r="AD104" s="50">
        <v>0</v>
      </c>
      <c r="AE104" s="24">
        <v>0</v>
      </c>
      <c r="AF104" s="24">
        <v>0</v>
      </c>
      <c r="AG104" s="24">
        <v>0</v>
      </c>
      <c r="AH104" s="22">
        <f t="shared" ref="AH104" si="708">+SUM(AI104:AM104)</f>
        <v>431106</v>
      </c>
      <c r="AI104" s="22">
        <f t="shared" ref="AI104" si="709">+W104+AC104</f>
        <v>193997.7</v>
      </c>
      <c r="AJ104" s="37">
        <f t="shared" ref="AJ104" si="710">+X104+AD104</f>
        <v>107776.5</v>
      </c>
      <c r="AK104" s="22">
        <f t="shared" ref="AK104" si="711">+Y104+AE104</f>
        <v>117831.8</v>
      </c>
      <c r="AL104" s="22">
        <f t="shared" ref="AL104" si="712">+Z104+AF104</f>
        <v>11500</v>
      </c>
      <c r="AM104" s="22">
        <f t="shared" ref="AM104" si="713">+AA104+AG104</f>
        <v>0</v>
      </c>
      <c r="AN104" s="53">
        <v>0</v>
      </c>
      <c r="AO104" s="13">
        <f t="shared" ref="AO104" si="714">+IF(AJ104=0,"N/A",(AN104)/AJ104)</f>
        <v>0</v>
      </c>
      <c r="AP104" s="17">
        <f t="shared" ref="AP104" si="715">+AJ104-AN104</f>
        <v>107776.5</v>
      </c>
      <c r="AQ104" s="33"/>
      <c r="AR104" s="128"/>
      <c r="AS104" s="128"/>
      <c r="AT104" s="128"/>
    </row>
    <row r="105" spans="1:46" s="2" customFormat="1" ht="25.5">
      <c r="A105" s="45" t="s">
        <v>420</v>
      </c>
      <c r="B105" s="38" t="s">
        <v>121</v>
      </c>
      <c r="C105" s="38" t="s">
        <v>121</v>
      </c>
      <c r="D105" s="14" t="s">
        <v>301</v>
      </c>
      <c r="E105" s="36" t="s">
        <v>421</v>
      </c>
      <c r="F105" s="46" t="s">
        <v>214</v>
      </c>
      <c r="G105" s="14"/>
      <c r="H105" s="48" t="s">
        <v>96</v>
      </c>
      <c r="I105" s="48">
        <v>6</v>
      </c>
      <c r="J105" s="48">
        <v>24</v>
      </c>
      <c r="K105" s="48">
        <v>6</v>
      </c>
      <c r="L105" s="16" t="s">
        <v>366</v>
      </c>
      <c r="M105" s="11" t="s">
        <v>53</v>
      </c>
      <c r="N105" s="14" t="s">
        <v>390</v>
      </c>
      <c r="O105" s="47">
        <v>42542</v>
      </c>
      <c r="P105" s="15"/>
      <c r="Q105" s="16"/>
      <c r="R105" s="14" t="s">
        <v>55</v>
      </c>
      <c r="S105" s="29">
        <v>42381</v>
      </c>
      <c r="T105" s="12" t="s">
        <v>43</v>
      </c>
      <c r="U105" s="10" t="s">
        <v>56</v>
      </c>
      <c r="V105" s="24">
        <f t="shared" ref="V105" si="716">+SUM(W105:AA105)</f>
        <v>258663.59999999998</v>
      </c>
      <c r="W105" s="24">
        <v>116398.62</v>
      </c>
      <c r="X105" s="50">
        <v>64665.9</v>
      </c>
      <c r="Y105" s="24">
        <v>70699.08</v>
      </c>
      <c r="Z105" s="24">
        <v>6900</v>
      </c>
      <c r="AA105" s="24">
        <v>0</v>
      </c>
      <c r="AB105" s="24">
        <f t="shared" ref="AB105" si="717">+SUM(AC105:AG105)</f>
        <v>0</v>
      </c>
      <c r="AC105" s="24">
        <v>0</v>
      </c>
      <c r="AD105" s="50">
        <v>0</v>
      </c>
      <c r="AE105" s="24">
        <v>0</v>
      </c>
      <c r="AF105" s="24">
        <v>0</v>
      </c>
      <c r="AG105" s="24">
        <v>0</v>
      </c>
      <c r="AH105" s="22">
        <f t="shared" ref="AH105" si="718">+SUM(AI105:AM105)</f>
        <v>258663.59999999998</v>
      </c>
      <c r="AI105" s="22">
        <f t="shared" ref="AI105" si="719">+W105+AC105</f>
        <v>116398.62</v>
      </c>
      <c r="AJ105" s="37">
        <f t="shared" ref="AJ105" si="720">+X105+AD105</f>
        <v>64665.9</v>
      </c>
      <c r="AK105" s="22">
        <f t="shared" ref="AK105" si="721">+Y105+AE105</f>
        <v>70699.08</v>
      </c>
      <c r="AL105" s="22">
        <f t="shared" ref="AL105" si="722">+Z105+AF105</f>
        <v>6900</v>
      </c>
      <c r="AM105" s="22">
        <f t="shared" ref="AM105" si="723">+AA105+AG105</f>
        <v>0</v>
      </c>
      <c r="AN105" s="53">
        <v>0</v>
      </c>
      <c r="AO105" s="13">
        <f t="shared" ref="AO105" si="724">+IF(AJ105=0,"N/A",(AN105)/AJ105)</f>
        <v>0</v>
      </c>
      <c r="AP105" s="17">
        <f t="shared" ref="AP105" si="725">+AJ105-AN105</f>
        <v>64665.9</v>
      </c>
      <c r="AQ105" s="33"/>
      <c r="AR105" s="128"/>
      <c r="AS105" s="128"/>
      <c r="AT105" s="128"/>
    </row>
    <row r="106" spans="1:46" s="2" customFormat="1" ht="25.5">
      <c r="A106" s="45" t="s">
        <v>422</v>
      </c>
      <c r="B106" s="38" t="s">
        <v>121</v>
      </c>
      <c r="C106" s="38" t="s">
        <v>121</v>
      </c>
      <c r="D106" s="14" t="s">
        <v>423</v>
      </c>
      <c r="E106" s="36" t="s">
        <v>424</v>
      </c>
      <c r="F106" s="46" t="s">
        <v>214</v>
      </c>
      <c r="G106" s="14"/>
      <c r="H106" s="48" t="s">
        <v>96</v>
      </c>
      <c r="I106" s="48">
        <v>1</v>
      </c>
      <c r="J106" s="48">
        <v>4</v>
      </c>
      <c r="K106" s="48">
        <v>1</v>
      </c>
      <c r="L106" s="16" t="s">
        <v>366</v>
      </c>
      <c r="M106" s="11" t="s">
        <v>53</v>
      </c>
      <c r="N106" s="14" t="s">
        <v>390</v>
      </c>
      <c r="O106" s="47">
        <v>42542</v>
      </c>
      <c r="P106" s="15"/>
      <c r="Q106" s="16"/>
      <c r="R106" s="14" t="s">
        <v>55</v>
      </c>
      <c r="S106" s="29">
        <v>42381</v>
      </c>
      <c r="T106" s="12" t="s">
        <v>43</v>
      </c>
      <c r="U106" s="10" t="s">
        <v>56</v>
      </c>
      <c r="V106" s="24">
        <f t="shared" ref="V106" si="726">+SUM(W106:AA106)</f>
        <v>43110.6</v>
      </c>
      <c r="W106" s="24">
        <v>19399.77</v>
      </c>
      <c r="X106" s="50">
        <v>10777.65</v>
      </c>
      <c r="Y106" s="24">
        <v>11783.18</v>
      </c>
      <c r="Z106" s="24">
        <v>1150</v>
      </c>
      <c r="AA106" s="24">
        <v>0</v>
      </c>
      <c r="AB106" s="24">
        <f t="shared" ref="AB106" si="727">+SUM(AC106:AG106)</f>
        <v>0</v>
      </c>
      <c r="AC106" s="24">
        <v>0</v>
      </c>
      <c r="AD106" s="50">
        <v>0</v>
      </c>
      <c r="AE106" s="24">
        <v>0</v>
      </c>
      <c r="AF106" s="24">
        <v>0</v>
      </c>
      <c r="AG106" s="24">
        <v>0</v>
      </c>
      <c r="AH106" s="22">
        <f t="shared" ref="AH106" si="728">+SUM(AI106:AM106)</f>
        <v>43110.6</v>
      </c>
      <c r="AI106" s="22">
        <f t="shared" ref="AI106" si="729">+W106+AC106</f>
        <v>19399.77</v>
      </c>
      <c r="AJ106" s="37">
        <f t="shared" ref="AJ106" si="730">+X106+AD106</f>
        <v>10777.65</v>
      </c>
      <c r="AK106" s="22">
        <f t="shared" ref="AK106" si="731">+Y106+AE106</f>
        <v>11783.18</v>
      </c>
      <c r="AL106" s="22">
        <f t="shared" ref="AL106" si="732">+Z106+AF106</f>
        <v>1150</v>
      </c>
      <c r="AM106" s="22">
        <f t="shared" ref="AM106" si="733">+AA106+AG106</f>
        <v>0</v>
      </c>
      <c r="AN106" s="53">
        <v>0</v>
      </c>
      <c r="AO106" s="13">
        <f t="shared" ref="AO106" si="734">+IF(AJ106=0,"N/A",(AN106)/AJ106)</f>
        <v>0</v>
      </c>
      <c r="AP106" s="17">
        <f t="shared" ref="AP106" si="735">+AJ106-AN106</f>
        <v>10777.65</v>
      </c>
      <c r="AQ106" s="33"/>
      <c r="AR106" s="128"/>
      <c r="AS106" s="128"/>
      <c r="AT106" s="128"/>
    </row>
    <row r="107" spans="1:46" s="2" customFormat="1" ht="38.25">
      <c r="A107" s="45" t="s">
        <v>428</v>
      </c>
      <c r="B107" s="38" t="s">
        <v>121</v>
      </c>
      <c r="C107" s="38" t="s">
        <v>121</v>
      </c>
      <c r="D107" s="14" t="s">
        <v>426</v>
      </c>
      <c r="E107" s="36" t="s">
        <v>427</v>
      </c>
      <c r="F107" s="46" t="s">
        <v>214</v>
      </c>
      <c r="G107" s="14"/>
      <c r="H107" s="48" t="s">
        <v>96</v>
      </c>
      <c r="I107" s="48">
        <v>3</v>
      </c>
      <c r="J107" s="48">
        <v>13</v>
      </c>
      <c r="K107" s="48">
        <v>3</v>
      </c>
      <c r="L107" s="16" t="s">
        <v>366</v>
      </c>
      <c r="M107" s="11" t="s">
        <v>53</v>
      </c>
      <c r="N107" s="14" t="s">
        <v>390</v>
      </c>
      <c r="O107" s="47">
        <v>42542</v>
      </c>
      <c r="P107" s="15"/>
      <c r="Q107" s="16"/>
      <c r="R107" s="14" t="s">
        <v>55</v>
      </c>
      <c r="S107" s="29">
        <v>42381</v>
      </c>
      <c r="T107" s="12" t="s">
        <v>43</v>
      </c>
      <c r="U107" s="10" t="s">
        <v>56</v>
      </c>
      <c r="V107" s="24">
        <f t="shared" ref="V107" si="736">+SUM(W107:AA107)</f>
        <v>129331.79999999999</v>
      </c>
      <c r="W107" s="24">
        <v>58199.31</v>
      </c>
      <c r="X107" s="50">
        <v>32332.95</v>
      </c>
      <c r="Y107" s="24">
        <v>35349.54</v>
      </c>
      <c r="Z107" s="24">
        <v>3450</v>
      </c>
      <c r="AA107" s="24">
        <v>0</v>
      </c>
      <c r="AB107" s="24">
        <f t="shared" ref="AB107" si="737">+SUM(AC107:AG107)</f>
        <v>0</v>
      </c>
      <c r="AC107" s="24">
        <v>0</v>
      </c>
      <c r="AD107" s="50">
        <v>0</v>
      </c>
      <c r="AE107" s="24">
        <v>0</v>
      </c>
      <c r="AF107" s="24">
        <v>0</v>
      </c>
      <c r="AG107" s="24">
        <v>0</v>
      </c>
      <c r="AH107" s="22">
        <f t="shared" ref="AH107" si="738">+SUM(AI107:AM107)</f>
        <v>129331.79999999999</v>
      </c>
      <c r="AI107" s="22">
        <f t="shared" ref="AI107" si="739">+W107+AC107</f>
        <v>58199.31</v>
      </c>
      <c r="AJ107" s="37">
        <f t="shared" ref="AJ107" si="740">+X107+AD107</f>
        <v>32332.95</v>
      </c>
      <c r="AK107" s="22">
        <f t="shared" ref="AK107" si="741">+Y107+AE107</f>
        <v>35349.54</v>
      </c>
      <c r="AL107" s="22">
        <f t="shared" ref="AL107" si="742">+Z107+AF107</f>
        <v>3450</v>
      </c>
      <c r="AM107" s="22">
        <f t="shared" ref="AM107" si="743">+AA107+AG107</f>
        <v>0</v>
      </c>
      <c r="AN107" s="53">
        <v>0</v>
      </c>
      <c r="AO107" s="13">
        <f t="shared" ref="AO107" si="744">+IF(AJ107=0,"N/A",(AN107)/AJ107)</f>
        <v>0</v>
      </c>
      <c r="AP107" s="17">
        <f t="shared" ref="AP107" si="745">+AJ107-AN107</f>
        <v>32332.95</v>
      </c>
      <c r="AQ107" s="33"/>
      <c r="AR107" s="128"/>
      <c r="AS107" s="128"/>
      <c r="AT107" s="128"/>
    </row>
    <row r="108" spans="1:46" s="2" customFormat="1" ht="25.5">
      <c r="A108" s="45" t="s">
        <v>425</v>
      </c>
      <c r="B108" s="38" t="s">
        <v>121</v>
      </c>
      <c r="C108" s="38" t="s">
        <v>121</v>
      </c>
      <c r="D108" s="14" t="s">
        <v>429</v>
      </c>
      <c r="E108" s="36" t="s">
        <v>430</v>
      </c>
      <c r="F108" s="46" t="s">
        <v>214</v>
      </c>
      <c r="G108" s="14"/>
      <c r="H108" s="48" t="s">
        <v>96</v>
      </c>
      <c r="I108" s="48">
        <v>9</v>
      </c>
      <c r="J108" s="48">
        <v>36</v>
      </c>
      <c r="K108" s="48">
        <v>9</v>
      </c>
      <c r="L108" s="16" t="s">
        <v>366</v>
      </c>
      <c r="M108" s="11" t="s">
        <v>53</v>
      </c>
      <c r="N108" s="14" t="s">
        <v>390</v>
      </c>
      <c r="O108" s="47">
        <v>42542</v>
      </c>
      <c r="P108" s="15"/>
      <c r="Q108" s="16"/>
      <c r="R108" s="14" t="s">
        <v>55</v>
      </c>
      <c r="S108" s="29">
        <v>42381</v>
      </c>
      <c r="T108" s="12" t="s">
        <v>43</v>
      </c>
      <c r="U108" s="10" t="s">
        <v>56</v>
      </c>
      <c r="V108" s="24">
        <f t="shared" ref="V108" si="746">+SUM(W108:AA108)</f>
        <v>387995.4</v>
      </c>
      <c r="W108" s="24">
        <v>174597.93</v>
      </c>
      <c r="X108" s="50">
        <v>96998.85</v>
      </c>
      <c r="Y108" s="24">
        <v>106048.62</v>
      </c>
      <c r="Z108" s="24">
        <v>10350</v>
      </c>
      <c r="AA108" s="24">
        <v>0</v>
      </c>
      <c r="AB108" s="24">
        <f t="shared" ref="AB108" si="747">+SUM(AC108:AG108)</f>
        <v>0</v>
      </c>
      <c r="AC108" s="24">
        <v>0</v>
      </c>
      <c r="AD108" s="50">
        <v>0</v>
      </c>
      <c r="AE108" s="24">
        <v>0</v>
      </c>
      <c r="AF108" s="24">
        <v>0</v>
      </c>
      <c r="AG108" s="24">
        <v>0</v>
      </c>
      <c r="AH108" s="22">
        <f t="shared" ref="AH108" si="748">+SUM(AI108:AM108)</f>
        <v>387995.4</v>
      </c>
      <c r="AI108" s="22">
        <f t="shared" ref="AI108" si="749">+W108+AC108</f>
        <v>174597.93</v>
      </c>
      <c r="AJ108" s="37">
        <f t="shared" ref="AJ108" si="750">+X108+AD108</f>
        <v>96998.85</v>
      </c>
      <c r="AK108" s="22">
        <f t="shared" ref="AK108" si="751">+Y108+AE108</f>
        <v>106048.62</v>
      </c>
      <c r="AL108" s="22">
        <f t="shared" ref="AL108" si="752">+Z108+AF108</f>
        <v>10350</v>
      </c>
      <c r="AM108" s="22">
        <f t="shared" ref="AM108" si="753">+AA108+AG108</f>
        <v>0</v>
      </c>
      <c r="AN108" s="53">
        <v>0</v>
      </c>
      <c r="AO108" s="13">
        <f t="shared" ref="AO108" si="754">+IF(AJ108=0,"N/A",(AN108)/AJ108)</f>
        <v>0</v>
      </c>
      <c r="AP108" s="17">
        <f t="shared" ref="AP108" si="755">+AJ108-AN108</f>
        <v>96998.85</v>
      </c>
      <c r="AQ108" s="33"/>
      <c r="AR108" s="128"/>
      <c r="AS108" s="128"/>
      <c r="AT108" s="128"/>
    </row>
    <row r="109" spans="1:46" s="2" customFormat="1" ht="25.5">
      <c r="A109" s="45" t="s">
        <v>431</v>
      </c>
      <c r="B109" s="38" t="s">
        <v>121</v>
      </c>
      <c r="C109" s="38" t="s">
        <v>121</v>
      </c>
      <c r="D109" s="14" t="s">
        <v>432</v>
      </c>
      <c r="E109" s="36" t="s">
        <v>433</v>
      </c>
      <c r="F109" s="46" t="s">
        <v>214</v>
      </c>
      <c r="G109" s="14"/>
      <c r="H109" s="48" t="s">
        <v>96</v>
      </c>
      <c r="I109" s="48">
        <v>11</v>
      </c>
      <c r="J109" s="48">
        <v>48</v>
      </c>
      <c r="K109" s="48">
        <v>11</v>
      </c>
      <c r="L109" s="16" t="s">
        <v>366</v>
      </c>
      <c r="M109" s="11" t="s">
        <v>53</v>
      </c>
      <c r="N109" s="14" t="s">
        <v>390</v>
      </c>
      <c r="O109" s="47">
        <v>42542</v>
      </c>
      <c r="P109" s="15"/>
      <c r="Q109" s="16"/>
      <c r="R109" s="14" t="s">
        <v>55</v>
      </c>
      <c r="S109" s="29">
        <v>42381</v>
      </c>
      <c r="T109" s="12" t="s">
        <v>43</v>
      </c>
      <c r="U109" s="10" t="s">
        <v>56</v>
      </c>
      <c r="V109" s="24">
        <f t="shared" ref="V109" si="756">+SUM(W109:AA109)</f>
        <v>474216.6</v>
      </c>
      <c r="W109" s="24">
        <v>213397.47</v>
      </c>
      <c r="X109" s="50">
        <v>118554.15</v>
      </c>
      <c r="Y109" s="24">
        <v>129614.98</v>
      </c>
      <c r="Z109" s="24">
        <v>12650</v>
      </c>
      <c r="AA109" s="24">
        <v>0</v>
      </c>
      <c r="AB109" s="24">
        <f t="shared" ref="AB109" si="757">+SUM(AC109:AG109)</f>
        <v>0</v>
      </c>
      <c r="AC109" s="24">
        <v>0</v>
      </c>
      <c r="AD109" s="50">
        <v>0</v>
      </c>
      <c r="AE109" s="24">
        <v>0</v>
      </c>
      <c r="AF109" s="24">
        <v>0</v>
      </c>
      <c r="AG109" s="24">
        <v>0</v>
      </c>
      <c r="AH109" s="22">
        <f t="shared" ref="AH109" si="758">+SUM(AI109:AM109)</f>
        <v>474216.6</v>
      </c>
      <c r="AI109" s="22">
        <f t="shared" ref="AI109" si="759">+W109+AC109</f>
        <v>213397.47</v>
      </c>
      <c r="AJ109" s="37">
        <f t="shared" ref="AJ109" si="760">+X109+AD109</f>
        <v>118554.15</v>
      </c>
      <c r="AK109" s="22">
        <f t="shared" ref="AK109" si="761">+Y109+AE109</f>
        <v>129614.98</v>
      </c>
      <c r="AL109" s="22">
        <f t="shared" ref="AL109" si="762">+Z109+AF109</f>
        <v>12650</v>
      </c>
      <c r="AM109" s="22">
        <f t="shared" ref="AM109" si="763">+AA109+AG109</f>
        <v>0</v>
      </c>
      <c r="AN109" s="53">
        <v>0</v>
      </c>
      <c r="AO109" s="13">
        <f t="shared" ref="AO109" si="764">+IF(AJ109=0,"N/A",(AN109)/AJ109)</f>
        <v>0</v>
      </c>
      <c r="AP109" s="17">
        <f t="shared" ref="AP109" si="765">+AJ109-AN109</f>
        <v>118554.15</v>
      </c>
      <c r="AQ109" s="33"/>
      <c r="AR109" s="128"/>
      <c r="AS109" s="128"/>
      <c r="AT109" s="128"/>
    </row>
    <row r="110" spans="1:46" s="2" customFormat="1" ht="25.5">
      <c r="A110" s="45" t="s">
        <v>434</v>
      </c>
      <c r="B110" s="38" t="s">
        <v>121</v>
      </c>
      <c r="C110" s="38" t="s">
        <v>121</v>
      </c>
      <c r="D110" s="14" t="s">
        <v>435</v>
      </c>
      <c r="E110" s="36" t="s">
        <v>436</v>
      </c>
      <c r="F110" s="46" t="s">
        <v>214</v>
      </c>
      <c r="G110" s="14"/>
      <c r="H110" s="48" t="s">
        <v>96</v>
      </c>
      <c r="I110" s="48">
        <v>8</v>
      </c>
      <c r="J110" s="48">
        <v>40</v>
      </c>
      <c r="K110" s="48">
        <v>8</v>
      </c>
      <c r="L110" s="16" t="s">
        <v>366</v>
      </c>
      <c r="M110" s="11" t="s">
        <v>53</v>
      </c>
      <c r="N110" s="14" t="s">
        <v>390</v>
      </c>
      <c r="O110" s="47">
        <v>42542</v>
      </c>
      <c r="P110" s="15"/>
      <c r="Q110" s="16"/>
      <c r="R110" s="14" t="s">
        <v>55</v>
      </c>
      <c r="S110" s="29">
        <v>42381</v>
      </c>
      <c r="T110" s="12" t="s">
        <v>43</v>
      </c>
      <c r="U110" s="10" t="s">
        <v>56</v>
      </c>
      <c r="V110" s="24">
        <f t="shared" ref="V110" si="766">+SUM(W110:AA110)</f>
        <v>344884.8</v>
      </c>
      <c r="W110" s="24">
        <v>155198.16</v>
      </c>
      <c r="X110" s="50">
        <v>86221.2</v>
      </c>
      <c r="Y110" s="24">
        <v>94265.44</v>
      </c>
      <c r="Z110" s="24">
        <v>9200</v>
      </c>
      <c r="AA110" s="24">
        <v>0</v>
      </c>
      <c r="AB110" s="24">
        <f t="shared" ref="AB110" si="767">+SUM(AC110:AG110)</f>
        <v>0</v>
      </c>
      <c r="AC110" s="24">
        <v>0</v>
      </c>
      <c r="AD110" s="50">
        <v>0</v>
      </c>
      <c r="AE110" s="24">
        <v>0</v>
      </c>
      <c r="AF110" s="24">
        <v>0</v>
      </c>
      <c r="AG110" s="24">
        <v>0</v>
      </c>
      <c r="AH110" s="22">
        <f t="shared" ref="AH110" si="768">+SUM(AI110:AM110)</f>
        <v>344884.8</v>
      </c>
      <c r="AI110" s="22">
        <f t="shared" ref="AI110" si="769">+W110+AC110</f>
        <v>155198.16</v>
      </c>
      <c r="AJ110" s="37">
        <f t="shared" ref="AJ110" si="770">+X110+AD110</f>
        <v>86221.2</v>
      </c>
      <c r="AK110" s="22">
        <f t="shared" ref="AK110" si="771">+Y110+AE110</f>
        <v>94265.44</v>
      </c>
      <c r="AL110" s="22">
        <f t="shared" ref="AL110" si="772">+Z110+AF110</f>
        <v>9200</v>
      </c>
      <c r="AM110" s="22">
        <f t="shared" ref="AM110" si="773">+AA110+AG110</f>
        <v>0</v>
      </c>
      <c r="AN110" s="53">
        <v>0</v>
      </c>
      <c r="AO110" s="13">
        <f t="shared" ref="AO110" si="774">+IF(AJ110=0,"N/A",(AN110)/AJ110)</f>
        <v>0</v>
      </c>
      <c r="AP110" s="17">
        <f t="shared" ref="AP110" si="775">+AJ110-AN110</f>
        <v>86221.2</v>
      </c>
      <c r="AQ110" s="33"/>
      <c r="AR110" s="128"/>
      <c r="AS110" s="128"/>
      <c r="AT110" s="128"/>
    </row>
    <row r="111" spans="1:46" s="2" customFormat="1" ht="25.5">
      <c r="A111" s="45" t="s">
        <v>437</v>
      </c>
      <c r="B111" s="38" t="s">
        <v>121</v>
      </c>
      <c r="C111" s="38" t="s">
        <v>121</v>
      </c>
      <c r="D111" s="14" t="s">
        <v>438</v>
      </c>
      <c r="E111" s="36" t="s">
        <v>439</v>
      </c>
      <c r="F111" s="46" t="s">
        <v>214</v>
      </c>
      <c r="G111" s="14"/>
      <c r="H111" s="48" t="s">
        <v>96</v>
      </c>
      <c r="I111" s="48">
        <v>2</v>
      </c>
      <c r="J111" s="48">
        <v>9</v>
      </c>
      <c r="K111" s="48">
        <v>2</v>
      </c>
      <c r="L111" s="16" t="s">
        <v>366</v>
      </c>
      <c r="M111" s="11" t="s">
        <v>53</v>
      </c>
      <c r="N111" s="14" t="s">
        <v>390</v>
      </c>
      <c r="O111" s="47">
        <v>42542</v>
      </c>
      <c r="P111" s="15"/>
      <c r="Q111" s="16"/>
      <c r="R111" s="14" t="s">
        <v>55</v>
      </c>
      <c r="S111" s="29">
        <v>42381</v>
      </c>
      <c r="T111" s="12" t="s">
        <v>43</v>
      </c>
      <c r="U111" s="10" t="s">
        <v>56</v>
      </c>
      <c r="V111" s="24">
        <f t="shared" ref="V111" si="776">+SUM(W111:AA111)</f>
        <v>86221.2</v>
      </c>
      <c r="W111" s="24">
        <v>38799.54</v>
      </c>
      <c r="X111" s="50">
        <v>21555.3</v>
      </c>
      <c r="Y111" s="24">
        <v>23566.36</v>
      </c>
      <c r="Z111" s="24">
        <v>2300</v>
      </c>
      <c r="AA111" s="24">
        <v>0</v>
      </c>
      <c r="AB111" s="24">
        <f t="shared" ref="AB111" si="777">+SUM(AC111:AG111)</f>
        <v>0</v>
      </c>
      <c r="AC111" s="24">
        <v>0</v>
      </c>
      <c r="AD111" s="50">
        <v>0</v>
      </c>
      <c r="AE111" s="24">
        <v>0</v>
      </c>
      <c r="AF111" s="24">
        <v>0</v>
      </c>
      <c r="AG111" s="24">
        <v>0</v>
      </c>
      <c r="AH111" s="22">
        <f t="shared" ref="AH111" si="778">+SUM(AI111:AM111)</f>
        <v>86221.2</v>
      </c>
      <c r="AI111" s="22">
        <f t="shared" ref="AI111" si="779">+W111+AC111</f>
        <v>38799.54</v>
      </c>
      <c r="AJ111" s="37">
        <f t="shared" ref="AJ111" si="780">+X111+AD111</f>
        <v>21555.3</v>
      </c>
      <c r="AK111" s="22">
        <f t="shared" ref="AK111" si="781">+Y111+AE111</f>
        <v>23566.36</v>
      </c>
      <c r="AL111" s="22">
        <f t="shared" ref="AL111" si="782">+Z111+AF111</f>
        <v>2300</v>
      </c>
      <c r="AM111" s="22">
        <f t="shared" ref="AM111" si="783">+AA111+AG111</f>
        <v>0</v>
      </c>
      <c r="AN111" s="53">
        <v>0</v>
      </c>
      <c r="AO111" s="13">
        <f t="shared" ref="AO111" si="784">+IF(AJ111=0,"N/A",(AN111)/AJ111)</f>
        <v>0</v>
      </c>
      <c r="AP111" s="17">
        <f t="shared" ref="AP111" si="785">+AJ111-AN111</f>
        <v>21555.3</v>
      </c>
      <c r="AQ111" s="33"/>
      <c r="AR111" s="128"/>
      <c r="AS111" s="128"/>
      <c r="AT111" s="128"/>
    </row>
    <row r="112" spans="1:46" s="2" customFormat="1" ht="25.5">
      <c r="A112" s="45" t="s">
        <v>440</v>
      </c>
      <c r="B112" s="38" t="s">
        <v>121</v>
      </c>
      <c r="C112" s="38" t="s">
        <v>121</v>
      </c>
      <c r="D112" s="14" t="s">
        <v>441</v>
      </c>
      <c r="E112" s="36" t="s">
        <v>442</v>
      </c>
      <c r="F112" s="46" t="s">
        <v>214</v>
      </c>
      <c r="G112" s="14"/>
      <c r="H112" s="48" t="s">
        <v>96</v>
      </c>
      <c r="I112" s="48">
        <v>1</v>
      </c>
      <c r="J112" s="48">
        <v>4</v>
      </c>
      <c r="K112" s="48">
        <v>1</v>
      </c>
      <c r="L112" s="16" t="s">
        <v>366</v>
      </c>
      <c r="M112" s="11" t="s">
        <v>53</v>
      </c>
      <c r="N112" s="14" t="s">
        <v>390</v>
      </c>
      <c r="O112" s="47">
        <v>42542</v>
      </c>
      <c r="P112" s="15"/>
      <c r="Q112" s="16"/>
      <c r="R112" s="14" t="s">
        <v>55</v>
      </c>
      <c r="S112" s="29">
        <v>42381</v>
      </c>
      <c r="T112" s="12" t="s">
        <v>43</v>
      </c>
      <c r="U112" s="10" t="s">
        <v>56</v>
      </c>
      <c r="V112" s="24">
        <f t="shared" ref="V112" si="786">+SUM(W112:AA112)</f>
        <v>43110.6</v>
      </c>
      <c r="W112" s="24">
        <v>19399.77</v>
      </c>
      <c r="X112" s="50">
        <v>10777.65</v>
      </c>
      <c r="Y112" s="24">
        <v>11783.18</v>
      </c>
      <c r="Z112" s="24">
        <v>1150</v>
      </c>
      <c r="AA112" s="24">
        <v>0</v>
      </c>
      <c r="AB112" s="24">
        <f t="shared" ref="AB112" si="787">+SUM(AC112:AG112)</f>
        <v>0</v>
      </c>
      <c r="AC112" s="24">
        <v>0</v>
      </c>
      <c r="AD112" s="50">
        <v>0</v>
      </c>
      <c r="AE112" s="24">
        <v>0</v>
      </c>
      <c r="AF112" s="24">
        <v>0</v>
      </c>
      <c r="AG112" s="24">
        <v>0</v>
      </c>
      <c r="AH112" s="22">
        <f t="shared" ref="AH112" si="788">+SUM(AI112:AM112)</f>
        <v>43110.6</v>
      </c>
      <c r="AI112" s="22">
        <f t="shared" ref="AI112" si="789">+W112+AC112</f>
        <v>19399.77</v>
      </c>
      <c r="AJ112" s="37">
        <f t="shared" ref="AJ112" si="790">+X112+AD112</f>
        <v>10777.65</v>
      </c>
      <c r="AK112" s="22">
        <f t="shared" ref="AK112" si="791">+Y112+AE112</f>
        <v>11783.18</v>
      </c>
      <c r="AL112" s="22">
        <f t="shared" ref="AL112" si="792">+Z112+AF112</f>
        <v>1150</v>
      </c>
      <c r="AM112" s="22">
        <f t="shared" ref="AM112" si="793">+AA112+AG112</f>
        <v>0</v>
      </c>
      <c r="AN112" s="53">
        <v>0</v>
      </c>
      <c r="AO112" s="13">
        <f t="shared" ref="AO112" si="794">+IF(AJ112=0,"N/A",(AN112)/AJ112)</f>
        <v>0</v>
      </c>
      <c r="AP112" s="17">
        <f t="shared" ref="AP112" si="795">+AJ112-AN112</f>
        <v>10777.65</v>
      </c>
      <c r="AQ112" s="33"/>
      <c r="AR112" s="128"/>
      <c r="AS112" s="128"/>
      <c r="AT112" s="128"/>
    </row>
    <row r="113" spans="1:46" s="2" customFormat="1" ht="25.5">
      <c r="A113" s="45" t="s">
        <v>443</v>
      </c>
      <c r="B113" s="38" t="s">
        <v>121</v>
      </c>
      <c r="C113" s="38" t="s">
        <v>121</v>
      </c>
      <c r="D113" s="14" t="s">
        <v>298</v>
      </c>
      <c r="E113" s="36" t="s">
        <v>444</v>
      </c>
      <c r="F113" s="46" t="s">
        <v>214</v>
      </c>
      <c r="G113" s="14"/>
      <c r="H113" s="48" t="s">
        <v>96</v>
      </c>
      <c r="I113" s="48">
        <v>4</v>
      </c>
      <c r="J113" s="48">
        <v>16</v>
      </c>
      <c r="K113" s="48">
        <v>4</v>
      </c>
      <c r="L113" s="16" t="s">
        <v>366</v>
      </c>
      <c r="M113" s="11" t="s">
        <v>53</v>
      </c>
      <c r="N113" s="14" t="s">
        <v>390</v>
      </c>
      <c r="O113" s="47">
        <v>42542</v>
      </c>
      <c r="P113" s="15"/>
      <c r="Q113" s="16"/>
      <c r="R113" s="14" t="s">
        <v>55</v>
      </c>
      <c r="S113" s="29">
        <v>42381</v>
      </c>
      <c r="T113" s="12" t="s">
        <v>43</v>
      </c>
      <c r="U113" s="10" t="s">
        <v>56</v>
      </c>
      <c r="V113" s="24">
        <f t="shared" ref="V113" si="796">+SUM(W113:AA113)</f>
        <v>172442.4</v>
      </c>
      <c r="W113" s="24">
        <v>77599.08</v>
      </c>
      <c r="X113" s="50">
        <v>43110.6</v>
      </c>
      <c r="Y113" s="24">
        <v>47132.72</v>
      </c>
      <c r="Z113" s="24">
        <v>4600</v>
      </c>
      <c r="AA113" s="24">
        <v>0</v>
      </c>
      <c r="AB113" s="24">
        <f t="shared" ref="AB113" si="797">+SUM(AC113:AG113)</f>
        <v>0</v>
      </c>
      <c r="AC113" s="24">
        <v>0</v>
      </c>
      <c r="AD113" s="50">
        <v>0</v>
      </c>
      <c r="AE113" s="24">
        <v>0</v>
      </c>
      <c r="AF113" s="24">
        <v>0</v>
      </c>
      <c r="AG113" s="24">
        <v>0</v>
      </c>
      <c r="AH113" s="22">
        <f t="shared" ref="AH113" si="798">+SUM(AI113:AM113)</f>
        <v>172442.4</v>
      </c>
      <c r="AI113" s="22">
        <f t="shared" ref="AI113" si="799">+W113+AC113</f>
        <v>77599.08</v>
      </c>
      <c r="AJ113" s="37">
        <f t="shared" ref="AJ113" si="800">+X113+AD113</f>
        <v>43110.6</v>
      </c>
      <c r="AK113" s="22">
        <f t="shared" ref="AK113" si="801">+Y113+AE113</f>
        <v>47132.72</v>
      </c>
      <c r="AL113" s="22">
        <f t="shared" ref="AL113" si="802">+Z113+AF113</f>
        <v>4600</v>
      </c>
      <c r="AM113" s="22">
        <f t="shared" ref="AM113" si="803">+AA113+AG113</f>
        <v>0</v>
      </c>
      <c r="AN113" s="53">
        <v>0</v>
      </c>
      <c r="AO113" s="13">
        <f t="shared" ref="AO113" si="804">+IF(AJ113=0,"N/A",(AN113)/AJ113)</f>
        <v>0</v>
      </c>
      <c r="AP113" s="17">
        <f t="shared" ref="AP113" si="805">+AJ113-AN113</f>
        <v>43110.6</v>
      </c>
      <c r="AQ113" s="33"/>
      <c r="AR113" s="128"/>
      <c r="AS113" s="128"/>
      <c r="AT113" s="128"/>
    </row>
    <row r="114" spans="1:46" s="2" customFormat="1" ht="25.5">
      <c r="A114" s="45" t="s">
        <v>445</v>
      </c>
      <c r="B114" s="38" t="s">
        <v>121</v>
      </c>
      <c r="C114" s="38" t="s">
        <v>121</v>
      </c>
      <c r="D114" s="14" t="s">
        <v>446</v>
      </c>
      <c r="E114" s="36" t="s">
        <v>447</v>
      </c>
      <c r="F114" s="46" t="s">
        <v>214</v>
      </c>
      <c r="G114" s="14"/>
      <c r="H114" s="48" t="s">
        <v>96</v>
      </c>
      <c r="I114" s="48">
        <v>10</v>
      </c>
      <c r="J114" s="48">
        <v>44</v>
      </c>
      <c r="K114" s="48">
        <v>10</v>
      </c>
      <c r="L114" s="16" t="s">
        <v>366</v>
      </c>
      <c r="M114" s="11" t="s">
        <v>53</v>
      </c>
      <c r="N114" s="14" t="s">
        <v>390</v>
      </c>
      <c r="O114" s="47">
        <v>42542</v>
      </c>
      <c r="P114" s="15"/>
      <c r="Q114" s="16"/>
      <c r="R114" s="14" t="s">
        <v>55</v>
      </c>
      <c r="S114" s="29">
        <v>42381</v>
      </c>
      <c r="T114" s="12" t="s">
        <v>43</v>
      </c>
      <c r="U114" s="10" t="s">
        <v>56</v>
      </c>
      <c r="V114" s="24">
        <f t="shared" ref="V114" si="806">+SUM(W114:AA114)</f>
        <v>431206</v>
      </c>
      <c r="W114" s="24">
        <v>193997.7</v>
      </c>
      <c r="X114" s="50">
        <v>107776.5</v>
      </c>
      <c r="Y114" s="24">
        <v>117931.8</v>
      </c>
      <c r="Z114" s="24">
        <v>11500</v>
      </c>
      <c r="AA114" s="24">
        <v>0</v>
      </c>
      <c r="AB114" s="24">
        <f t="shared" ref="AB114" si="807">+SUM(AC114:AG114)</f>
        <v>0</v>
      </c>
      <c r="AC114" s="24">
        <v>0</v>
      </c>
      <c r="AD114" s="50">
        <v>0</v>
      </c>
      <c r="AE114" s="24">
        <v>0</v>
      </c>
      <c r="AF114" s="24">
        <v>0</v>
      </c>
      <c r="AG114" s="24">
        <v>0</v>
      </c>
      <c r="AH114" s="22">
        <f t="shared" ref="AH114" si="808">+SUM(AI114:AM114)</f>
        <v>431206</v>
      </c>
      <c r="AI114" s="22">
        <f t="shared" ref="AI114" si="809">+W114+AC114</f>
        <v>193997.7</v>
      </c>
      <c r="AJ114" s="37">
        <f t="shared" ref="AJ114" si="810">+X114+AD114</f>
        <v>107776.5</v>
      </c>
      <c r="AK114" s="22">
        <f t="shared" ref="AK114" si="811">+Y114+AE114</f>
        <v>117931.8</v>
      </c>
      <c r="AL114" s="22">
        <f t="shared" ref="AL114" si="812">+Z114+AF114</f>
        <v>11500</v>
      </c>
      <c r="AM114" s="22">
        <f t="shared" ref="AM114" si="813">+AA114+AG114</f>
        <v>0</v>
      </c>
      <c r="AN114" s="53">
        <v>0</v>
      </c>
      <c r="AO114" s="13">
        <f t="shared" ref="AO114" si="814">+IF(AJ114=0,"N/A",(AN114)/AJ114)</f>
        <v>0</v>
      </c>
      <c r="AP114" s="17">
        <f t="shared" ref="AP114" si="815">+AJ114-AN114</f>
        <v>107776.5</v>
      </c>
      <c r="AQ114" s="33"/>
      <c r="AR114" s="128"/>
      <c r="AS114" s="128"/>
      <c r="AT114" s="128"/>
    </row>
    <row r="115" spans="1:46" s="2" customFormat="1" ht="25.5">
      <c r="A115" s="45" t="s">
        <v>448</v>
      </c>
      <c r="B115" s="38" t="s">
        <v>121</v>
      </c>
      <c r="C115" s="38" t="s">
        <v>121</v>
      </c>
      <c r="D115" s="14" t="s">
        <v>301</v>
      </c>
      <c r="E115" s="36" t="s">
        <v>421</v>
      </c>
      <c r="F115" s="46" t="s">
        <v>214</v>
      </c>
      <c r="G115" s="14"/>
      <c r="H115" s="48" t="s">
        <v>96</v>
      </c>
      <c r="I115" s="48">
        <v>1</v>
      </c>
      <c r="J115" s="48">
        <v>4</v>
      </c>
      <c r="K115" s="48">
        <v>1</v>
      </c>
      <c r="L115" s="16" t="s">
        <v>366</v>
      </c>
      <c r="M115" s="11" t="s">
        <v>53</v>
      </c>
      <c r="N115" s="14" t="s">
        <v>390</v>
      </c>
      <c r="O115" s="47">
        <v>42542</v>
      </c>
      <c r="P115" s="15"/>
      <c r="Q115" s="16"/>
      <c r="R115" s="14" t="s">
        <v>55</v>
      </c>
      <c r="S115" s="29">
        <v>42381</v>
      </c>
      <c r="T115" s="12" t="s">
        <v>43</v>
      </c>
      <c r="U115" s="10" t="s">
        <v>56</v>
      </c>
      <c r="V115" s="24">
        <f t="shared" ref="V115" si="816">+SUM(W115:AA115)</f>
        <v>43110.6</v>
      </c>
      <c r="W115" s="24">
        <v>19399.77</v>
      </c>
      <c r="X115" s="50">
        <v>10777.65</v>
      </c>
      <c r="Y115" s="24">
        <v>11783.18</v>
      </c>
      <c r="Z115" s="24">
        <v>1150</v>
      </c>
      <c r="AA115" s="24">
        <v>0</v>
      </c>
      <c r="AB115" s="24">
        <f t="shared" ref="AB115" si="817">+SUM(AC115:AG115)</f>
        <v>0</v>
      </c>
      <c r="AC115" s="24">
        <v>0</v>
      </c>
      <c r="AD115" s="50">
        <v>0</v>
      </c>
      <c r="AE115" s="24">
        <v>0</v>
      </c>
      <c r="AF115" s="24">
        <v>0</v>
      </c>
      <c r="AG115" s="24">
        <v>0</v>
      </c>
      <c r="AH115" s="22">
        <f t="shared" ref="AH115" si="818">+SUM(AI115:AM115)</f>
        <v>43110.6</v>
      </c>
      <c r="AI115" s="22">
        <f t="shared" ref="AI115" si="819">+W115+AC115</f>
        <v>19399.77</v>
      </c>
      <c r="AJ115" s="37">
        <f t="shared" ref="AJ115" si="820">+X115+AD115</f>
        <v>10777.65</v>
      </c>
      <c r="AK115" s="22">
        <f t="shared" ref="AK115" si="821">+Y115+AE115</f>
        <v>11783.18</v>
      </c>
      <c r="AL115" s="22">
        <f t="shared" ref="AL115" si="822">+Z115+AF115</f>
        <v>1150</v>
      </c>
      <c r="AM115" s="22">
        <f t="shared" ref="AM115" si="823">+AA115+AG115</f>
        <v>0</v>
      </c>
      <c r="AN115" s="53">
        <v>0</v>
      </c>
      <c r="AO115" s="13">
        <f t="shared" ref="AO115" si="824">+IF(AJ115=0,"N/A",(AN115)/AJ115)</f>
        <v>0</v>
      </c>
      <c r="AP115" s="17">
        <f t="shared" ref="AP115" si="825">+AJ115-AN115</f>
        <v>10777.65</v>
      </c>
      <c r="AQ115" s="33"/>
      <c r="AR115" s="128"/>
      <c r="AS115" s="128"/>
      <c r="AT115" s="128"/>
    </row>
    <row r="116" spans="1:46" s="2" customFormat="1" ht="25.5">
      <c r="A116" s="45" t="s">
        <v>449</v>
      </c>
      <c r="B116" s="38" t="s">
        <v>121</v>
      </c>
      <c r="C116" s="38" t="s">
        <v>121</v>
      </c>
      <c r="D116" s="14" t="s">
        <v>450</v>
      </c>
      <c r="E116" s="36" t="s">
        <v>451</v>
      </c>
      <c r="F116" s="46" t="s">
        <v>214</v>
      </c>
      <c r="G116" s="14"/>
      <c r="H116" s="48" t="s">
        <v>96</v>
      </c>
      <c r="I116" s="48">
        <v>1</v>
      </c>
      <c r="J116" s="48">
        <v>4</v>
      </c>
      <c r="K116" s="48">
        <v>1</v>
      </c>
      <c r="L116" s="16" t="s">
        <v>366</v>
      </c>
      <c r="M116" s="11" t="s">
        <v>53</v>
      </c>
      <c r="N116" s="14" t="s">
        <v>390</v>
      </c>
      <c r="O116" s="47">
        <v>42542</v>
      </c>
      <c r="P116" s="15"/>
      <c r="Q116" s="16"/>
      <c r="R116" s="14" t="s">
        <v>55</v>
      </c>
      <c r="S116" s="29">
        <v>42381</v>
      </c>
      <c r="T116" s="12" t="s">
        <v>43</v>
      </c>
      <c r="U116" s="10" t="s">
        <v>56</v>
      </c>
      <c r="V116" s="24">
        <f t="shared" ref="V116" si="826">+SUM(W116:AA116)</f>
        <v>43110.6</v>
      </c>
      <c r="W116" s="24">
        <v>19399.77</v>
      </c>
      <c r="X116" s="50">
        <v>10777.65</v>
      </c>
      <c r="Y116" s="24">
        <v>11783.18</v>
      </c>
      <c r="Z116" s="24">
        <v>1150</v>
      </c>
      <c r="AA116" s="24">
        <v>0</v>
      </c>
      <c r="AB116" s="24">
        <f t="shared" ref="AB116" si="827">+SUM(AC116:AG116)</f>
        <v>0</v>
      </c>
      <c r="AC116" s="24">
        <v>0</v>
      </c>
      <c r="AD116" s="50">
        <v>0</v>
      </c>
      <c r="AE116" s="24">
        <v>0</v>
      </c>
      <c r="AF116" s="24">
        <v>0</v>
      </c>
      <c r="AG116" s="24">
        <v>0</v>
      </c>
      <c r="AH116" s="22">
        <f t="shared" ref="AH116" si="828">+SUM(AI116:AM116)</f>
        <v>43110.6</v>
      </c>
      <c r="AI116" s="22">
        <f t="shared" ref="AI116" si="829">+W116+AC116</f>
        <v>19399.77</v>
      </c>
      <c r="AJ116" s="37">
        <f t="shared" ref="AJ116" si="830">+X116+AD116</f>
        <v>10777.65</v>
      </c>
      <c r="AK116" s="22">
        <f t="shared" ref="AK116" si="831">+Y116+AE116</f>
        <v>11783.18</v>
      </c>
      <c r="AL116" s="22">
        <f t="shared" ref="AL116" si="832">+Z116+AF116</f>
        <v>1150</v>
      </c>
      <c r="AM116" s="22">
        <f t="shared" ref="AM116" si="833">+AA116+AG116</f>
        <v>0</v>
      </c>
      <c r="AN116" s="53">
        <v>0</v>
      </c>
      <c r="AO116" s="13">
        <f t="shared" ref="AO116" si="834">+IF(AJ116=0,"N/A",(AN116)/AJ116)</f>
        <v>0</v>
      </c>
      <c r="AP116" s="17">
        <f t="shared" ref="AP116" si="835">+AJ116-AN116</f>
        <v>10777.65</v>
      </c>
      <c r="AQ116" s="33"/>
      <c r="AR116" s="128"/>
      <c r="AS116" s="128"/>
      <c r="AT116" s="128"/>
    </row>
    <row r="117" spans="1:46" s="2" customFormat="1" ht="25.5">
      <c r="A117" s="45" t="s">
        <v>452</v>
      </c>
      <c r="B117" s="38" t="s">
        <v>58</v>
      </c>
      <c r="C117" s="38" t="s">
        <v>58</v>
      </c>
      <c r="D117" s="14" t="s">
        <v>453</v>
      </c>
      <c r="E117" s="36" t="s">
        <v>457</v>
      </c>
      <c r="F117" s="46" t="s">
        <v>214</v>
      </c>
      <c r="G117" s="14"/>
      <c r="H117" s="48" t="s">
        <v>96</v>
      </c>
      <c r="I117" s="48">
        <v>30</v>
      </c>
      <c r="J117" s="48">
        <v>139</v>
      </c>
      <c r="K117" s="48">
        <v>30</v>
      </c>
      <c r="L117" s="16" t="s">
        <v>366</v>
      </c>
      <c r="M117" s="11" t="s">
        <v>53</v>
      </c>
      <c r="N117" s="14" t="s">
        <v>454</v>
      </c>
      <c r="O117" s="47">
        <v>42542</v>
      </c>
      <c r="P117" s="15"/>
      <c r="Q117" s="16"/>
      <c r="R117" s="14" t="s">
        <v>55</v>
      </c>
      <c r="S117" s="29">
        <v>42381</v>
      </c>
      <c r="T117" s="12" t="s">
        <v>43</v>
      </c>
      <c r="U117" s="10" t="s">
        <v>56</v>
      </c>
      <c r="V117" s="24">
        <f t="shared" ref="V117" si="836">+SUM(W117:AA117)</f>
        <v>1293318</v>
      </c>
      <c r="W117" s="24">
        <v>581993.1</v>
      </c>
      <c r="X117" s="50">
        <v>323329.5</v>
      </c>
      <c r="Y117" s="24">
        <v>387995.4</v>
      </c>
      <c r="Z117" s="24">
        <v>0</v>
      </c>
      <c r="AA117" s="24">
        <v>0</v>
      </c>
      <c r="AB117" s="24">
        <f t="shared" ref="AB117" si="837">+SUM(AC117:AG117)</f>
        <v>0</v>
      </c>
      <c r="AC117" s="24">
        <v>0</v>
      </c>
      <c r="AD117" s="50">
        <v>0</v>
      </c>
      <c r="AE117" s="24">
        <v>0</v>
      </c>
      <c r="AF117" s="24">
        <v>0</v>
      </c>
      <c r="AG117" s="24">
        <v>0</v>
      </c>
      <c r="AH117" s="22">
        <f t="shared" ref="AH117" si="838">+SUM(AI117:AM117)</f>
        <v>1293318</v>
      </c>
      <c r="AI117" s="22">
        <f t="shared" ref="AI117" si="839">+W117+AC117</f>
        <v>581993.1</v>
      </c>
      <c r="AJ117" s="37">
        <f t="shared" ref="AJ117" si="840">+X117+AD117</f>
        <v>323329.5</v>
      </c>
      <c r="AK117" s="22">
        <f t="shared" ref="AK117" si="841">+Y117+AE117</f>
        <v>387995.4</v>
      </c>
      <c r="AL117" s="22">
        <f t="shared" ref="AL117" si="842">+Z117+AF117</f>
        <v>0</v>
      </c>
      <c r="AM117" s="22">
        <f t="shared" ref="AM117" si="843">+AA117+AG117</f>
        <v>0</v>
      </c>
      <c r="AN117" s="53">
        <f>323329.5</f>
        <v>323329.5</v>
      </c>
      <c r="AO117" s="13">
        <f t="shared" ref="AO117" si="844">+IF(AJ117=0,"N/A",(AN117)/AJ117)</f>
        <v>1</v>
      </c>
      <c r="AP117" s="17">
        <f t="shared" ref="AP117" si="845">+AJ117-AN117</f>
        <v>0</v>
      </c>
      <c r="AQ117" s="33"/>
      <c r="AR117" s="128"/>
      <c r="AS117" s="128"/>
      <c r="AT117" s="128"/>
    </row>
    <row r="118" spans="1:46" s="2" customFormat="1" ht="25.5">
      <c r="A118" s="45" t="s">
        <v>455</v>
      </c>
      <c r="B118" s="38" t="s">
        <v>58</v>
      </c>
      <c r="C118" s="38" t="s">
        <v>58</v>
      </c>
      <c r="D118" s="14" t="s">
        <v>456</v>
      </c>
      <c r="E118" s="36" t="s">
        <v>458</v>
      </c>
      <c r="F118" s="46" t="s">
        <v>214</v>
      </c>
      <c r="G118" s="14"/>
      <c r="H118" s="48" t="s">
        <v>96</v>
      </c>
      <c r="I118" s="48">
        <v>10</v>
      </c>
      <c r="J118" s="48">
        <v>51</v>
      </c>
      <c r="K118" s="48">
        <v>10</v>
      </c>
      <c r="L118" s="16" t="s">
        <v>366</v>
      </c>
      <c r="M118" s="11" t="s">
        <v>53</v>
      </c>
      <c r="N118" s="14" t="s">
        <v>454</v>
      </c>
      <c r="O118" s="47">
        <v>42542</v>
      </c>
      <c r="P118" s="15"/>
      <c r="Q118" s="16"/>
      <c r="R118" s="14" t="s">
        <v>55</v>
      </c>
      <c r="S118" s="29">
        <v>42381</v>
      </c>
      <c r="T118" s="12" t="s">
        <v>43</v>
      </c>
      <c r="U118" s="10" t="s">
        <v>56</v>
      </c>
      <c r="V118" s="24">
        <f t="shared" ref="V118" si="846">+SUM(W118:AA118)</f>
        <v>431106</v>
      </c>
      <c r="W118" s="24">
        <v>193997.7</v>
      </c>
      <c r="X118" s="50">
        <v>107776.5</v>
      </c>
      <c r="Y118" s="24">
        <v>129331.8</v>
      </c>
      <c r="Z118" s="24">
        <v>0</v>
      </c>
      <c r="AA118" s="24">
        <v>0</v>
      </c>
      <c r="AB118" s="24">
        <f t="shared" ref="AB118" si="847">+SUM(AC118:AG118)</f>
        <v>0</v>
      </c>
      <c r="AC118" s="24">
        <v>0</v>
      </c>
      <c r="AD118" s="50">
        <v>0</v>
      </c>
      <c r="AE118" s="24">
        <v>0</v>
      </c>
      <c r="AF118" s="24">
        <v>0</v>
      </c>
      <c r="AG118" s="24">
        <v>0</v>
      </c>
      <c r="AH118" s="22">
        <f t="shared" ref="AH118" si="848">+SUM(AI118:AM118)</f>
        <v>431106</v>
      </c>
      <c r="AI118" s="22">
        <f t="shared" ref="AI118" si="849">+W118+AC118</f>
        <v>193997.7</v>
      </c>
      <c r="AJ118" s="37">
        <f t="shared" ref="AJ118" si="850">+X118+AD118</f>
        <v>107776.5</v>
      </c>
      <c r="AK118" s="22">
        <f t="shared" ref="AK118" si="851">+Y118+AE118</f>
        <v>129331.8</v>
      </c>
      <c r="AL118" s="22">
        <f t="shared" ref="AL118" si="852">+Z118+AF118</f>
        <v>0</v>
      </c>
      <c r="AM118" s="22">
        <f t="shared" ref="AM118" si="853">+AA118+AG118</f>
        <v>0</v>
      </c>
      <c r="AN118" s="53">
        <f>107776.5</f>
        <v>107776.5</v>
      </c>
      <c r="AO118" s="13">
        <f t="shared" ref="AO118" si="854">+IF(AJ118=0,"N/A",(AN118)/AJ118)</f>
        <v>1</v>
      </c>
      <c r="AP118" s="17">
        <f t="shared" ref="AP118" si="855">+AJ118-AN118</f>
        <v>0</v>
      </c>
      <c r="AQ118" s="33"/>
      <c r="AR118" s="128"/>
      <c r="AS118" s="128"/>
      <c r="AT118" s="128"/>
    </row>
    <row r="119" spans="1:46" s="2" customFormat="1" ht="25.5">
      <c r="A119" s="45" t="s">
        <v>459</v>
      </c>
      <c r="B119" s="38" t="s">
        <v>58</v>
      </c>
      <c r="C119" s="38" t="s">
        <v>58</v>
      </c>
      <c r="D119" s="14" t="s">
        <v>58</v>
      </c>
      <c r="E119" s="36" t="s">
        <v>460</v>
      </c>
      <c r="F119" s="46" t="s">
        <v>214</v>
      </c>
      <c r="G119" s="14"/>
      <c r="H119" s="48" t="s">
        <v>96</v>
      </c>
      <c r="I119" s="48">
        <v>10</v>
      </c>
      <c r="J119" s="48">
        <v>40</v>
      </c>
      <c r="K119" s="48">
        <v>10</v>
      </c>
      <c r="L119" s="16" t="s">
        <v>366</v>
      </c>
      <c r="M119" s="11" t="s">
        <v>53</v>
      </c>
      <c r="N119" s="14" t="s">
        <v>454</v>
      </c>
      <c r="O119" s="47">
        <v>42542</v>
      </c>
      <c r="P119" s="15"/>
      <c r="Q119" s="16"/>
      <c r="R119" s="14" t="s">
        <v>55</v>
      </c>
      <c r="S119" s="29">
        <v>42381</v>
      </c>
      <c r="T119" s="12" t="s">
        <v>43</v>
      </c>
      <c r="U119" s="10" t="s">
        <v>56</v>
      </c>
      <c r="V119" s="24">
        <f t="shared" ref="V119" si="856">+SUM(W119:AA119)</f>
        <v>431106</v>
      </c>
      <c r="W119" s="24">
        <v>193997.7</v>
      </c>
      <c r="X119" s="50">
        <v>107776.5</v>
      </c>
      <c r="Y119" s="24">
        <v>129331.8</v>
      </c>
      <c r="Z119" s="24">
        <v>0</v>
      </c>
      <c r="AA119" s="24">
        <v>0</v>
      </c>
      <c r="AB119" s="24">
        <f t="shared" ref="AB119" si="857">+SUM(AC119:AG119)</f>
        <v>0</v>
      </c>
      <c r="AC119" s="24">
        <v>0</v>
      </c>
      <c r="AD119" s="50">
        <v>0</v>
      </c>
      <c r="AE119" s="24">
        <v>0</v>
      </c>
      <c r="AF119" s="24">
        <v>0</v>
      </c>
      <c r="AG119" s="24">
        <v>0</v>
      </c>
      <c r="AH119" s="22">
        <f t="shared" ref="AH119" si="858">+SUM(AI119:AM119)</f>
        <v>431106</v>
      </c>
      <c r="AI119" s="22">
        <f t="shared" ref="AI119" si="859">+W119+AC119</f>
        <v>193997.7</v>
      </c>
      <c r="AJ119" s="37">
        <f t="shared" ref="AJ119" si="860">+X119+AD119</f>
        <v>107776.5</v>
      </c>
      <c r="AK119" s="22">
        <f t="shared" ref="AK119" si="861">+Y119+AE119</f>
        <v>129331.8</v>
      </c>
      <c r="AL119" s="22">
        <f t="shared" ref="AL119" si="862">+Z119+AF119</f>
        <v>0</v>
      </c>
      <c r="AM119" s="22">
        <f t="shared" ref="AM119" si="863">+AA119+AG119</f>
        <v>0</v>
      </c>
      <c r="AN119" s="53">
        <f>107776.5</f>
        <v>107776.5</v>
      </c>
      <c r="AO119" s="13">
        <f t="shared" ref="AO119" si="864">+IF(AJ119=0,"N/A",(AN119)/AJ119)</f>
        <v>1</v>
      </c>
      <c r="AP119" s="17">
        <f t="shared" ref="AP119" si="865">+AJ119-AN119</f>
        <v>0</v>
      </c>
      <c r="AQ119" s="33"/>
      <c r="AR119" s="128"/>
      <c r="AS119" s="128"/>
      <c r="AT119" s="128"/>
    </row>
    <row r="120" spans="1:46" s="2" customFormat="1" ht="25.5">
      <c r="A120" s="45" t="s">
        <v>461</v>
      </c>
      <c r="B120" s="38" t="s">
        <v>58</v>
      </c>
      <c r="C120" s="38" t="s">
        <v>58</v>
      </c>
      <c r="D120" s="14" t="s">
        <v>453</v>
      </c>
      <c r="E120" s="36" t="s">
        <v>457</v>
      </c>
      <c r="F120" s="46" t="s">
        <v>214</v>
      </c>
      <c r="G120" s="14"/>
      <c r="H120" s="48" t="s">
        <v>96</v>
      </c>
      <c r="I120" s="48">
        <v>37</v>
      </c>
      <c r="J120" s="48">
        <v>171</v>
      </c>
      <c r="K120" s="48">
        <v>37</v>
      </c>
      <c r="L120" s="16" t="s">
        <v>366</v>
      </c>
      <c r="M120" s="11" t="s">
        <v>53</v>
      </c>
      <c r="N120" s="14" t="s">
        <v>454</v>
      </c>
      <c r="O120" s="47">
        <v>42542</v>
      </c>
      <c r="P120" s="15"/>
      <c r="Q120" s="16"/>
      <c r="R120" s="14" t="s">
        <v>55</v>
      </c>
      <c r="S120" s="29">
        <v>42381</v>
      </c>
      <c r="T120" s="12" t="s">
        <v>43</v>
      </c>
      <c r="U120" s="10" t="s">
        <v>56</v>
      </c>
      <c r="V120" s="24">
        <f t="shared" ref="V120" si="866">+SUM(W120:AA120)</f>
        <v>1595092.2</v>
      </c>
      <c r="W120" s="24">
        <v>717791.49</v>
      </c>
      <c r="X120" s="50">
        <v>398773.05</v>
      </c>
      <c r="Y120" s="24">
        <v>478527.66</v>
      </c>
      <c r="Z120" s="24">
        <v>0</v>
      </c>
      <c r="AA120" s="24">
        <v>0</v>
      </c>
      <c r="AB120" s="24">
        <f t="shared" ref="AB120" si="867">+SUM(AC120:AG120)</f>
        <v>0</v>
      </c>
      <c r="AC120" s="24">
        <v>0</v>
      </c>
      <c r="AD120" s="50">
        <v>0</v>
      </c>
      <c r="AE120" s="24">
        <v>0</v>
      </c>
      <c r="AF120" s="24">
        <v>0</v>
      </c>
      <c r="AG120" s="24">
        <v>0</v>
      </c>
      <c r="AH120" s="22">
        <f t="shared" ref="AH120" si="868">+SUM(AI120:AM120)</f>
        <v>1595092.2</v>
      </c>
      <c r="AI120" s="22">
        <f t="shared" ref="AI120" si="869">+W120+AC120</f>
        <v>717791.49</v>
      </c>
      <c r="AJ120" s="37">
        <f t="shared" ref="AJ120" si="870">+X120+AD120</f>
        <v>398773.05</v>
      </c>
      <c r="AK120" s="22">
        <f t="shared" ref="AK120" si="871">+Y120+AE120</f>
        <v>478527.66</v>
      </c>
      <c r="AL120" s="22">
        <f t="shared" ref="AL120" si="872">+Z120+AF120</f>
        <v>0</v>
      </c>
      <c r="AM120" s="22">
        <f t="shared" ref="AM120" si="873">+AA120+AG120</f>
        <v>0</v>
      </c>
      <c r="AN120" s="53">
        <f>398773.05</f>
        <v>398773.05</v>
      </c>
      <c r="AO120" s="13">
        <f t="shared" ref="AO120" si="874">+IF(AJ120=0,"N/A",(AN120)/AJ120)</f>
        <v>1</v>
      </c>
      <c r="AP120" s="17">
        <f t="shared" ref="AP120" si="875">+AJ120-AN120</f>
        <v>0</v>
      </c>
      <c r="AQ120" s="33"/>
      <c r="AR120" s="128"/>
      <c r="AS120" s="128"/>
      <c r="AT120" s="128"/>
    </row>
    <row r="121" spans="1:46" s="2" customFormat="1" ht="25.5">
      <c r="A121" s="45" t="s">
        <v>462</v>
      </c>
      <c r="B121" s="38" t="s">
        <v>58</v>
      </c>
      <c r="C121" s="38" t="s">
        <v>58</v>
      </c>
      <c r="D121" s="14" t="s">
        <v>463</v>
      </c>
      <c r="E121" s="36" t="s">
        <v>464</v>
      </c>
      <c r="F121" s="46" t="s">
        <v>214</v>
      </c>
      <c r="G121" s="14"/>
      <c r="H121" s="48" t="s">
        <v>96</v>
      </c>
      <c r="I121" s="48">
        <v>13</v>
      </c>
      <c r="J121" s="48">
        <v>47</v>
      </c>
      <c r="K121" s="48">
        <v>13</v>
      </c>
      <c r="L121" s="16" t="s">
        <v>366</v>
      </c>
      <c r="M121" s="11" t="s">
        <v>53</v>
      </c>
      <c r="N121" s="14" t="s">
        <v>454</v>
      </c>
      <c r="O121" s="47">
        <v>42542</v>
      </c>
      <c r="P121" s="15"/>
      <c r="Q121" s="16"/>
      <c r="R121" s="14" t="s">
        <v>55</v>
      </c>
      <c r="S121" s="29">
        <v>42381</v>
      </c>
      <c r="T121" s="12" t="s">
        <v>43</v>
      </c>
      <c r="U121" s="10" t="s">
        <v>56</v>
      </c>
      <c r="V121" s="24">
        <f t="shared" ref="V121:V136" si="876">+SUM(W121:AA121)</f>
        <v>560437.80000000005</v>
      </c>
      <c r="W121" s="24">
        <v>252197.01</v>
      </c>
      <c r="X121" s="50">
        <v>140109.45000000001</v>
      </c>
      <c r="Y121" s="24">
        <v>168131.34</v>
      </c>
      <c r="Z121" s="24">
        <v>0</v>
      </c>
      <c r="AA121" s="24">
        <v>0</v>
      </c>
      <c r="AB121" s="24">
        <f t="shared" ref="AB121:AB136" si="877">+SUM(AC121:AG121)</f>
        <v>0</v>
      </c>
      <c r="AC121" s="24">
        <v>0</v>
      </c>
      <c r="AD121" s="50">
        <v>0</v>
      </c>
      <c r="AE121" s="24">
        <v>0</v>
      </c>
      <c r="AF121" s="24">
        <v>0</v>
      </c>
      <c r="AG121" s="24">
        <v>0</v>
      </c>
      <c r="AH121" s="22">
        <f t="shared" ref="AH121:AH136" si="878">+SUM(AI121:AM121)</f>
        <v>560437.80000000005</v>
      </c>
      <c r="AI121" s="22">
        <f t="shared" ref="AI121:AI136" si="879">+W121+AC121</f>
        <v>252197.01</v>
      </c>
      <c r="AJ121" s="37">
        <f t="shared" ref="AJ121:AJ136" si="880">+X121+AD121</f>
        <v>140109.45000000001</v>
      </c>
      <c r="AK121" s="22">
        <f t="shared" ref="AK121:AK136" si="881">+Y121+AE121</f>
        <v>168131.34</v>
      </c>
      <c r="AL121" s="22">
        <f t="shared" ref="AL121:AL136" si="882">+Z121+AF121</f>
        <v>0</v>
      </c>
      <c r="AM121" s="22">
        <f t="shared" ref="AM121:AM136" si="883">+AA121+AG121</f>
        <v>0</v>
      </c>
      <c r="AN121" s="53">
        <f>140109.45</f>
        <v>140109.45000000001</v>
      </c>
      <c r="AO121" s="13">
        <f t="shared" ref="AO121:AO136" si="884">+IF(AJ121=0,"N/A",(AN121)/AJ121)</f>
        <v>1</v>
      </c>
      <c r="AP121" s="17">
        <f t="shared" ref="AP121:AP136" si="885">+AJ121-AN121</f>
        <v>0</v>
      </c>
      <c r="AQ121" s="33"/>
      <c r="AR121" s="128"/>
      <c r="AS121" s="128"/>
      <c r="AT121" s="128"/>
    </row>
    <row r="122" spans="1:46" s="2" customFormat="1" ht="25.5">
      <c r="A122" s="45" t="s">
        <v>522</v>
      </c>
      <c r="B122" s="38" t="s">
        <v>515</v>
      </c>
      <c r="C122" s="38" t="s">
        <v>515</v>
      </c>
      <c r="D122" s="14" t="s">
        <v>523</v>
      </c>
      <c r="E122" s="36" t="s">
        <v>524</v>
      </c>
      <c r="F122" s="46" t="s">
        <v>214</v>
      </c>
      <c r="G122" s="14"/>
      <c r="H122" s="48" t="s">
        <v>96</v>
      </c>
      <c r="I122" s="48">
        <v>34</v>
      </c>
      <c r="J122" s="48">
        <v>133</v>
      </c>
      <c r="K122" s="48">
        <v>34</v>
      </c>
      <c r="L122" s="16" t="s">
        <v>366</v>
      </c>
      <c r="M122" s="11" t="s">
        <v>53</v>
      </c>
      <c r="N122" s="14" t="s">
        <v>518</v>
      </c>
      <c r="O122" s="47">
        <v>42542</v>
      </c>
      <c r="P122" s="15"/>
      <c r="Q122" s="16"/>
      <c r="R122" s="14" t="s">
        <v>55</v>
      </c>
      <c r="S122" s="29">
        <v>42381</v>
      </c>
      <c r="T122" s="12" t="s">
        <v>43</v>
      </c>
      <c r="U122" s="10" t="s">
        <v>56</v>
      </c>
      <c r="V122" s="24">
        <f t="shared" si="876"/>
        <v>1465760.4000000001</v>
      </c>
      <c r="W122" s="24">
        <v>659592.18000000005</v>
      </c>
      <c r="X122" s="50">
        <v>366440.1</v>
      </c>
      <c r="Y122" s="24">
        <v>395755.31</v>
      </c>
      <c r="Z122" s="24">
        <v>43972.81</v>
      </c>
      <c r="AA122" s="24">
        <v>0</v>
      </c>
      <c r="AB122" s="24">
        <f t="shared" si="877"/>
        <v>0</v>
      </c>
      <c r="AC122" s="24">
        <v>0</v>
      </c>
      <c r="AD122" s="50">
        <v>0</v>
      </c>
      <c r="AE122" s="24">
        <v>0</v>
      </c>
      <c r="AF122" s="24">
        <v>0</v>
      </c>
      <c r="AG122" s="24">
        <v>0</v>
      </c>
      <c r="AH122" s="22">
        <f t="shared" si="878"/>
        <v>1465760.4000000001</v>
      </c>
      <c r="AI122" s="22">
        <f t="shared" si="879"/>
        <v>659592.18000000005</v>
      </c>
      <c r="AJ122" s="37">
        <f t="shared" si="880"/>
        <v>366440.1</v>
      </c>
      <c r="AK122" s="22">
        <f t="shared" si="881"/>
        <v>395755.31</v>
      </c>
      <c r="AL122" s="22">
        <f t="shared" si="882"/>
        <v>43972.81</v>
      </c>
      <c r="AM122" s="22">
        <f t="shared" si="883"/>
        <v>0</v>
      </c>
      <c r="AN122" s="53">
        <f>366440.1</f>
        <v>366440.1</v>
      </c>
      <c r="AO122" s="13">
        <f t="shared" si="884"/>
        <v>1</v>
      </c>
      <c r="AP122" s="17">
        <f t="shared" si="885"/>
        <v>0</v>
      </c>
      <c r="AQ122" s="33"/>
      <c r="AR122" s="128"/>
      <c r="AS122" s="128"/>
      <c r="AT122" s="128"/>
    </row>
    <row r="123" spans="1:46" s="2" customFormat="1" ht="25.5">
      <c r="A123" s="45" t="s">
        <v>525</v>
      </c>
      <c r="B123" s="38" t="s">
        <v>515</v>
      </c>
      <c r="C123" s="38" t="s">
        <v>515</v>
      </c>
      <c r="D123" s="14" t="s">
        <v>515</v>
      </c>
      <c r="E123" s="36" t="s">
        <v>526</v>
      </c>
      <c r="F123" s="46" t="s">
        <v>214</v>
      </c>
      <c r="G123" s="14"/>
      <c r="H123" s="48" t="s">
        <v>96</v>
      </c>
      <c r="I123" s="48">
        <v>15</v>
      </c>
      <c r="J123" s="48">
        <v>59</v>
      </c>
      <c r="K123" s="48">
        <v>15</v>
      </c>
      <c r="L123" s="16" t="s">
        <v>366</v>
      </c>
      <c r="M123" s="11" t="s">
        <v>53</v>
      </c>
      <c r="N123" s="14" t="s">
        <v>518</v>
      </c>
      <c r="O123" s="47">
        <v>42542</v>
      </c>
      <c r="P123" s="15"/>
      <c r="Q123" s="16"/>
      <c r="R123" s="14" t="s">
        <v>55</v>
      </c>
      <c r="S123" s="29">
        <v>42381</v>
      </c>
      <c r="T123" s="12" t="s">
        <v>43</v>
      </c>
      <c r="U123" s="10" t="s">
        <v>56</v>
      </c>
      <c r="V123" s="24">
        <f t="shared" si="876"/>
        <v>646659</v>
      </c>
      <c r="W123" s="24">
        <v>290996.55</v>
      </c>
      <c r="X123" s="50">
        <v>161664.75</v>
      </c>
      <c r="Y123" s="24">
        <v>174597.93</v>
      </c>
      <c r="Z123" s="24">
        <v>19399.77</v>
      </c>
      <c r="AA123" s="24">
        <v>0</v>
      </c>
      <c r="AB123" s="24">
        <f t="shared" si="877"/>
        <v>0</v>
      </c>
      <c r="AC123" s="24">
        <v>0</v>
      </c>
      <c r="AD123" s="50">
        <v>0</v>
      </c>
      <c r="AE123" s="24">
        <v>0</v>
      </c>
      <c r="AF123" s="24">
        <v>0</v>
      </c>
      <c r="AG123" s="24">
        <v>0</v>
      </c>
      <c r="AH123" s="22">
        <f t="shared" si="878"/>
        <v>646659</v>
      </c>
      <c r="AI123" s="22">
        <f t="shared" si="879"/>
        <v>290996.55</v>
      </c>
      <c r="AJ123" s="37">
        <f t="shared" si="880"/>
        <v>161664.75</v>
      </c>
      <c r="AK123" s="22">
        <f t="shared" si="881"/>
        <v>174597.93</v>
      </c>
      <c r="AL123" s="22">
        <f t="shared" si="882"/>
        <v>19399.77</v>
      </c>
      <c r="AM123" s="22">
        <f t="shared" si="883"/>
        <v>0</v>
      </c>
      <c r="AN123" s="53">
        <f>161664.75</f>
        <v>161664.75</v>
      </c>
      <c r="AO123" s="13">
        <f t="shared" si="884"/>
        <v>1</v>
      </c>
      <c r="AP123" s="17">
        <f t="shared" si="885"/>
        <v>0</v>
      </c>
      <c r="AQ123" s="33"/>
      <c r="AR123" s="128"/>
      <c r="AS123" s="128"/>
      <c r="AT123" s="128"/>
    </row>
    <row r="124" spans="1:46" s="2" customFormat="1" ht="25.5">
      <c r="A124" s="45" t="s">
        <v>527</v>
      </c>
      <c r="B124" s="38" t="s">
        <v>515</v>
      </c>
      <c r="C124" s="38" t="s">
        <v>515</v>
      </c>
      <c r="D124" s="14" t="s">
        <v>515</v>
      </c>
      <c r="E124" s="36" t="s">
        <v>526</v>
      </c>
      <c r="F124" s="46" t="s">
        <v>214</v>
      </c>
      <c r="G124" s="14"/>
      <c r="H124" s="48" t="s">
        <v>96</v>
      </c>
      <c r="I124" s="48">
        <v>50</v>
      </c>
      <c r="J124" s="48">
        <v>197</v>
      </c>
      <c r="K124" s="48">
        <v>50</v>
      </c>
      <c r="L124" s="16" t="s">
        <v>366</v>
      </c>
      <c r="M124" s="11" t="s">
        <v>53</v>
      </c>
      <c r="N124" s="14" t="s">
        <v>518</v>
      </c>
      <c r="O124" s="47">
        <v>42542</v>
      </c>
      <c r="P124" s="15"/>
      <c r="Q124" s="16"/>
      <c r="R124" s="14" t="s">
        <v>55</v>
      </c>
      <c r="S124" s="29">
        <v>42381</v>
      </c>
      <c r="T124" s="12" t="s">
        <v>43</v>
      </c>
      <c r="U124" s="10" t="s">
        <v>56</v>
      </c>
      <c r="V124" s="24">
        <f t="shared" ref="V124" si="886">+SUM(W124:AA124)</f>
        <v>2155530</v>
      </c>
      <c r="W124" s="24">
        <v>969988.5</v>
      </c>
      <c r="X124" s="50">
        <v>538882.5</v>
      </c>
      <c r="Y124" s="24">
        <v>581993.1</v>
      </c>
      <c r="Z124" s="24">
        <v>64665.9</v>
      </c>
      <c r="AA124" s="24">
        <v>0</v>
      </c>
      <c r="AB124" s="24">
        <f t="shared" ref="AB124" si="887">+SUM(AC124:AG124)</f>
        <v>0</v>
      </c>
      <c r="AC124" s="24">
        <v>0</v>
      </c>
      <c r="AD124" s="50">
        <v>0</v>
      </c>
      <c r="AE124" s="24">
        <v>0</v>
      </c>
      <c r="AF124" s="24">
        <v>0</v>
      </c>
      <c r="AG124" s="24">
        <v>0</v>
      </c>
      <c r="AH124" s="22">
        <f t="shared" ref="AH124" si="888">+SUM(AI124:AM124)</f>
        <v>2155530</v>
      </c>
      <c r="AI124" s="22">
        <f t="shared" ref="AI124" si="889">+W124+AC124</f>
        <v>969988.5</v>
      </c>
      <c r="AJ124" s="37">
        <f t="shared" ref="AJ124" si="890">+X124+AD124</f>
        <v>538882.5</v>
      </c>
      <c r="AK124" s="22">
        <f t="shared" ref="AK124" si="891">+Y124+AE124</f>
        <v>581993.1</v>
      </c>
      <c r="AL124" s="22">
        <f t="shared" ref="AL124" si="892">+Z124+AF124</f>
        <v>64665.9</v>
      </c>
      <c r="AM124" s="22">
        <f t="shared" ref="AM124" si="893">+AA124+AG124</f>
        <v>0</v>
      </c>
      <c r="AN124" s="53">
        <f>538882.5</f>
        <v>538882.5</v>
      </c>
      <c r="AO124" s="13">
        <f t="shared" ref="AO124" si="894">+IF(AJ124=0,"N/A",(AN124)/AJ124)</f>
        <v>1</v>
      </c>
      <c r="AP124" s="17">
        <f t="shared" ref="AP124" si="895">+AJ124-AN124</f>
        <v>0</v>
      </c>
      <c r="AQ124" s="33"/>
      <c r="AR124" s="128"/>
      <c r="AS124" s="128"/>
      <c r="AT124" s="128"/>
    </row>
    <row r="125" spans="1:46" s="2" customFormat="1" ht="25.5">
      <c r="A125" s="45" t="s">
        <v>528</v>
      </c>
      <c r="B125" s="38" t="s">
        <v>515</v>
      </c>
      <c r="C125" s="38" t="s">
        <v>515</v>
      </c>
      <c r="D125" s="14" t="s">
        <v>515</v>
      </c>
      <c r="E125" s="36" t="s">
        <v>526</v>
      </c>
      <c r="F125" s="46" t="s">
        <v>214</v>
      </c>
      <c r="G125" s="14"/>
      <c r="H125" s="48" t="s">
        <v>96</v>
      </c>
      <c r="I125" s="48">
        <v>50</v>
      </c>
      <c r="J125" s="48">
        <v>197</v>
      </c>
      <c r="K125" s="48">
        <v>50</v>
      </c>
      <c r="L125" s="16" t="s">
        <v>366</v>
      </c>
      <c r="M125" s="11" t="s">
        <v>53</v>
      </c>
      <c r="N125" s="14" t="s">
        <v>518</v>
      </c>
      <c r="O125" s="47">
        <v>42542</v>
      </c>
      <c r="P125" s="15"/>
      <c r="Q125" s="16"/>
      <c r="R125" s="14" t="s">
        <v>55</v>
      </c>
      <c r="S125" s="29">
        <v>42381</v>
      </c>
      <c r="T125" s="12" t="s">
        <v>43</v>
      </c>
      <c r="U125" s="10" t="s">
        <v>56</v>
      </c>
      <c r="V125" s="24">
        <f t="shared" ref="V125" si="896">+SUM(W125:AA125)</f>
        <v>2155530</v>
      </c>
      <c r="W125" s="24">
        <v>969988.5</v>
      </c>
      <c r="X125" s="50">
        <v>538882.5</v>
      </c>
      <c r="Y125" s="24">
        <v>581993.1</v>
      </c>
      <c r="Z125" s="24">
        <v>64665.9</v>
      </c>
      <c r="AA125" s="24">
        <v>0</v>
      </c>
      <c r="AB125" s="24">
        <f t="shared" ref="AB125" si="897">+SUM(AC125:AG125)</f>
        <v>0</v>
      </c>
      <c r="AC125" s="24">
        <v>0</v>
      </c>
      <c r="AD125" s="50">
        <v>0</v>
      </c>
      <c r="AE125" s="24">
        <v>0</v>
      </c>
      <c r="AF125" s="24">
        <v>0</v>
      </c>
      <c r="AG125" s="24">
        <v>0</v>
      </c>
      <c r="AH125" s="22">
        <f t="shared" ref="AH125" si="898">+SUM(AI125:AM125)</f>
        <v>2155530</v>
      </c>
      <c r="AI125" s="22">
        <f t="shared" ref="AI125" si="899">+W125+AC125</f>
        <v>969988.5</v>
      </c>
      <c r="AJ125" s="37">
        <f t="shared" ref="AJ125" si="900">+X125+AD125</f>
        <v>538882.5</v>
      </c>
      <c r="AK125" s="22">
        <f t="shared" ref="AK125" si="901">+Y125+AE125</f>
        <v>581993.1</v>
      </c>
      <c r="AL125" s="22">
        <f t="shared" ref="AL125" si="902">+Z125+AF125</f>
        <v>64665.9</v>
      </c>
      <c r="AM125" s="22">
        <f t="shared" ref="AM125" si="903">+AA125+AG125</f>
        <v>0</v>
      </c>
      <c r="AN125" s="53">
        <f>538882.5</f>
        <v>538882.5</v>
      </c>
      <c r="AO125" s="13">
        <f t="shared" ref="AO125" si="904">+IF(AJ125=0,"N/A",(AN125)/AJ125)</f>
        <v>1</v>
      </c>
      <c r="AP125" s="17">
        <f t="shared" ref="AP125" si="905">+AJ125-AN125</f>
        <v>0</v>
      </c>
      <c r="AQ125" s="33"/>
      <c r="AR125" s="128"/>
      <c r="AS125" s="128"/>
      <c r="AT125" s="128"/>
    </row>
    <row r="126" spans="1:46" s="2" customFormat="1" ht="25.5">
      <c r="A126" s="45" t="s">
        <v>514</v>
      </c>
      <c r="B126" s="38" t="s">
        <v>515</v>
      </c>
      <c r="C126" s="38" t="s">
        <v>515</v>
      </c>
      <c r="D126" s="14" t="s">
        <v>516</v>
      </c>
      <c r="E126" s="36" t="s">
        <v>517</v>
      </c>
      <c r="F126" s="46" t="s">
        <v>214</v>
      </c>
      <c r="G126" s="14"/>
      <c r="H126" s="48" t="s">
        <v>96</v>
      </c>
      <c r="I126" s="48">
        <v>43</v>
      </c>
      <c r="J126" s="48">
        <v>240</v>
      </c>
      <c r="K126" s="48">
        <v>43</v>
      </c>
      <c r="L126" s="16" t="s">
        <v>366</v>
      </c>
      <c r="M126" s="11" t="s">
        <v>53</v>
      </c>
      <c r="N126" s="14" t="s">
        <v>518</v>
      </c>
      <c r="O126" s="47">
        <v>42542</v>
      </c>
      <c r="P126" s="15"/>
      <c r="Q126" s="16"/>
      <c r="R126" s="14" t="s">
        <v>55</v>
      </c>
      <c r="S126" s="29">
        <v>42381</v>
      </c>
      <c r="T126" s="12" t="s">
        <v>43</v>
      </c>
      <c r="U126" s="10" t="s">
        <v>56</v>
      </c>
      <c r="V126" s="24">
        <f t="shared" ref="V126" si="906">+SUM(W126:AA126)</f>
        <v>1853755.8</v>
      </c>
      <c r="W126" s="24">
        <v>834190.11</v>
      </c>
      <c r="X126" s="50">
        <v>463438.95</v>
      </c>
      <c r="Y126" s="24">
        <v>506676.74</v>
      </c>
      <c r="Z126" s="24">
        <v>49450</v>
      </c>
      <c r="AA126" s="24">
        <v>0</v>
      </c>
      <c r="AB126" s="24">
        <f t="shared" ref="AB126" si="907">+SUM(AC126:AG126)</f>
        <v>0</v>
      </c>
      <c r="AC126" s="24">
        <v>0</v>
      </c>
      <c r="AD126" s="50">
        <v>0</v>
      </c>
      <c r="AE126" s="24">
        <v>0</v>
      </c>
      <c r="AF126" s="24">
        <v>0</v>
      </c>
      <c r="AG126" s="24">
        <v>0</v>
      </c>
      <c r="AH126" s="22">
        <f t="shared" ref="AH126" si="908">+SUM(AI126:AM126)</f>
        <v>1853755.8</v>
      </c>
      <c r="AI126" s="22">
        <f t="shared" ref="AI126" si="909">+W126+AC126</f>
        <v>834190.11</v>
      </c>
      <c r="AJ126" s="37">
        <f t="shared" ref="AJ126" si="910">+X126+AD126</f>
        <v>463438.95</v>
      </c>
      <c r="AK126" s="22">
        <f t="shared" ref="AK126" si="911">+Y126+AE126</f>
        <v>506676.74</v>
      </c>
      <c r="AL126" s="22">
        <f t="shared" ref="AL126" si="912">+Z126+AF126</f>
        <v>49450</v>
      </c>
      <c r="AM126" s="22">
        <f t="shared" ref="AM126" si="913">+AA126+AG126</f>
        <v>0</v>
      </c>
      <c r="AN126" s="53">
        <f>463438.95</f>
        <v>463438.95</v>
      </c>
      <c r="AO126" s="13">
        <f t="shared" ref="AO126" si="914">+IF(AJ126=0,"N/A",(AN126)/AJ126)</f>
        <v>1</v>
      </c>
      <c r="AP126" s="17">
        <f t="shared" ref="AP126" si="915">+AJ126-AN126</f>
        <v>0</v>
      </c>
      <c r="AQ126" s="33"/>
      <c r="AR126" s="128"/>
      <c r="AS126" s="128"/>
      <c r="AT126" s="128"/>
    </row>
    <row r="127" spans="1:46" s="2" customFormat="1" ht="25.5">
      <c r="A127" s="45" t="s">
        <v>519</v>
      </c>
      <c r="B127" s="38" t="s">
        <v>515</v>
      </c>
      <c r="C127" s="38" t="s">
        <v>515</v>
      </c>
      <c r="D127" s="14" t="s">
        <v>520</v>
      </c>
      <c r="E127" s="36" t="s">
        <v>521</v>
      </c>
      <c r="F127" s="46" t="s">
        <v>214</v>
      </c>
      <c r="G127" s="14"/>
      <c r="H127" s="48" t="s">
        <v>96</v>
      </c>
      <c r="I127" s="48">
        <v>8</v>
      </c>
      <c r="J127" s="48">
        <v>36</v>
      </c>
      <c r="K127" s="48">
        <v>8</v>
      </c>
      <c r="L127" s="16" t="s">
        <v>366</v>
      </c>
      <c r="M127" s="11" t="s">
        <v>53</v>
      </c>
      <c r="N127" s="14" t="s">
        <v>518</v>
      </c>
      <c r="O127" s="47">
        <v>42542</v>
      </c>
      <c r="P127" s="15"/>
      <c r="Q127" s="16"/>
      <c r="R127" s="14" t="s">
        <v>55</v>
      </c>
      <c r="S127" s="29">
        <v>42381</v>
      </c>
      <c r="T127" s="12" t="s">
        <v>43</v>
      </c>
      <c r="U127" s="10" t="s">
        <v>56</v>
      </c>
      <c r="V127" s="24">
        <f t="shared" ref="V127" si="916">+SUM(W127:AA127)</f>
        <v>344884.8</v>
      </c>
      <c r="W127" s="24">
        <v>155198.16</v>
      </c>
      <c r="X127" s="50">
        <v>86221.2</v>
      </c>
      <c r="Y127" s="24">
        <v>94265.44</v>
      </c>
      <c r="Z127" s="24">
        <v>9200</v>
      </c>
      <c r="AA127" s="24">
        <v>0</v>
      </c>
      <c r="AB127" s="24">
        <f t="shared" ref="AB127" si="917">+SUM(AC127:AG127)</f>
        <v>0</v>
      </c>
      <c r="AC127" s="24">
        <v>0</v>
      </c>
      <c r="AD127" s="50">
        <v>0</v>
      </c>
      <c r="AE127" s="24">
        <v>0</v>
      </c>
      <c r="AF127" s="24">
        <v>0</v>
      </c>
      <c r="AG127" s="24">
        <v>0</v>
      </c>
      <c r="AH127" s="22">
        <f t="shared" ref="AH127" si="918">+SUM(AI127:AM127)</f>
        <v>344884.8</v>
      </c>
      <c r="AI127" s="22">
        <f t="shared" ref="AI127" si="919">+W127+AC127</f>
        <v>155198.16</v>
      </c>
      <c r="AJ127" s="37">
        <f t="shared" ref="AJ127" si="920">+X127+AD127</f>
        <v>86221.2</v>
      </c>
      <c r="AK127" s="22">
        <f t="shared" ref="AK127" si="921">+Y127+AE127</f>
        <v>94265.44</v>
      </c>
      <c r="AL127" s="22">
        <f t="shared" ref="AL127" si="922">+Z127+AF127</f>
        <v>9200</v>
      </c>
      <c r="AM127" s="22">
        <f t="shared" ref="AM127" si="923">+AA127+AG127</f>
        <v>0</v>
      </c>
      <c r="AN127" s="53">
        <f>86221.2</f>
        <v>86221.2</v>
      </c>
      <c r="AO127" s="13">
        <f t="shared" ref="AO127" si="924">+IF(AJ127=0,"N/A",(AN127)/AJ127)</f>
        <v>1</v>
      </c>
      <c r="AP127" s="17">
        <f t="shared" ref="AP127" si="925">+AJ127-AN127</f>
        <v>0</v>
      </c>
      <c r="AQ127" s="33"/>
      <c r="AR127" s="128"/>
      <c r="AS127" s="128"/>
      <c r="AT127" s="128"/>
    </row>
    <row r="128" spans="1:46" s="2" customFormat="1" ht="25.5">
      <c r="A128" s="45" t="s">
        <v>529</v>
      </c>
      <c r="B128" s="38" t="s">
        <v>115</v>
      </c>
      <c r="C128" s="38" t="s">
        <v>115</v>
      </c>
      <c r="D128" s="14" t="s">
        <v>202</v>
      </c>
      <c r="E128" s="36" t="s">
        <v>530</v>
      </c>
      <c r="F128" s="46" t="s">
        <v>214</v>
      </c>
      <c r="G128" s="14"/>
      <c r="H128" s="48" t="s">
        <v>96</v>
      </c>
      <c r="I128" s="48">
        <v>20</v>
      </c>
      <c r="J128" s="48">
        <v>105</v>
      </c>
      <c r="K128" s="48">
        <v>20</v>
      </c>
      <c r="L128" s="16" t="s">
        <v>366</v>
      </c>
      <c r="M128" s="11" t="s">
        <v>53</v>
      </c>
      <c r="N128" s="14" t="s">
        <v>518</v>
      </c>
      <c r="O128" s="47">
        <v>42542</v>
      </c>
      <c r="P128" s="15"/>
      <c r="Q128" s="16"/>
      <c r="R128" s="14" t="s">
        <v>55</v>
      </c>
      <c r="S128" s="29">
        <v>42381</v>
      </c>
      <c r="T128" s="12" t="s">
        <v>43</v>
      </c>
      <c r="U128" s="10" t="s">
        <v>56</v>
      </c>
      <c r="V128" s="24">
        <f t="shared" ref="V128" si="926">+SUM(W128:AA128)</f>
        <v>862212</v>
      </c>
      <c r="W128" s="24">
        <v>387995.4</v>
      </c>
      <c r="X128" s="50">
        <v>215553</v>
      </c>
      <c r="Y128" s="24">
        <v>232797.24</v>
      </c>
      <c r="Z128" s="24">
        <v>25866.36</v>
      </c>
      <c r="AA128" s="24">
        <v>0</v>
      </c>
      <c r="AB128" s="24">
        <f t="shared" ref="AB128" si="927">+SUM(AC128:AG128)</f>
        <v>0</v>
      </c>
      <c r="AC128" s="24">
        <v>0</v>
      </c>
      <c r="AD128" s="50">
        <v>0</v>
      </c>
      <c r="AE128" s="24">
        <v>0</v>
      </c>
      <c r="AF128" s="24">
        <v>0</v>
      </c>
      <c r="AG128" s="24">
        <v>0</v>
      </c>
      <c r="AH128" s="22">
        <f t="shared" ref="AH128" si="928">+SUM(AI128:AM128)</f>
        <v>862212</v>
      </c>
      <c r="AI128" s="22">
        <f t="shared" ref="AI128" si="929">+W128+AC128</f>
        <v>387995.4</v>
      </c>
      <c r="AJ128" s="37">
        <f t="shared" ref="AJ128" si="930">+X128+AD128</f>
        <v>215553</v>
      </c>
      <c r="AK128" s="22">
        <f t="shared" ref="AK128" si="931">+Y128+AE128</f>
        <v>232797.24</v>
      </c>
      <c r="AL128" s="22">
        <f t="shared" ref="AL128" si="932">+Z128+AF128</f>
        <v>25866.36</v>
      </c>
      <c r="AM128" s="22">
        <f t="shared" ref="AM128" si="933">+AA128+AG128</f>
        <v>0</v>
      </c>
      <c r="AN128" s="53">
        <f>215553</f>
        <v>215553</v>
      </c>
      <c r="AO128" s="13">
        <f t="shared" ref="AO128" si="934">+IF(AJ128=0,"N/A",(AN128)/AJ128)</f>
        <v>1</v>
      </c>
      <c r="AP128" s="17">
        <f t="shared" ref="AP128" si="935">+AJ128-AN128</f>
        <v>0</v>
      </c>
      <c r="AQ128" s="33"/>
      <c r="AR128" s="128"/>
      <c r="AS128" s="128"/>
      <c r="AT128" s="128"/>
    </row>
    <row r="129" spans="1:46" s="2" customFormat="1" ht="25.5">
      <c r="A129" s="45" t="s">
        <v>531</v>
      </c>
      <c r="B129" s="38" t="s">
        <v>115</v>
      </c>
      <c r="C129" s="38" t="s">
        <v>115</v>
      </c>
      <c r="D129" s="14" t="s">
        <v>532</v>
      </c>
      <c r="E129" s="36" t="s">
        <v>533</v>
      </c>
      <c r="F129" s="46" t="s">
        <v>214</v>
      </c>
      <c r="G129" s="14"/>
      <c r="H129" s="48" t="s">
        <v>96</v>
      </c>
      <c r="I129" s="48">
        <v>10</v>
      </c>
      <c r="J129" s="48">
        <v>48</v>
      </c>
      <c r="K129" s="48">
        <v>10</v>
      </c>
      <c r="L129" s="16" t="s">
        <v>366</v>
      </c>
      <c r="M129" s="11" t="s">
        <v>53</v>
      </c>
      <c r="N129" s="14" t="s">
        <v>518</v>
      </c>
      <c r="O129" s="47">
        <v>42542</v>
      </c>
      <c r="P129" s="15"/>
      <c r="Q129" s="16"/>
      <c r="R129" s="14" t="s">
        <v>55</v>
      </c>
      <c r="S129" s="29">
        <v>42381</v>
      </c>
      <c r="T129" s="12" t="s">
        <v>43</v>
      </c>
      <c r="U129" s="10" t="s">
        <v>56</v>
      </c>
      <c r="V129" s="24">
        <f t="shared" ref="V129" si="936">+SUM(W129:AA129)</f>
        <v>431106</v>
      </c>
      <c r="W129" s="24">
        <v>193997.7</v>
      </c>
      <c r="X129" s="50">
        <v>107776.5</v>
      </c>
      <c r="Y129" s="24">
        <v>116398.62</v>
      </c>
      <c r="Z129" s="24">
        <v>12933.18</v>
      </c>
      <c r="AA129" s="24">
        <v>0</v>
      </c>
      <c r="AB129" s="24">
        <f t="shared" ref="AB129" si="937">+SUM(AC129:AG129)</f>
        <v>0</v>
      </c>
      <c r="AC129" s="24">
        <v>0</v>
      </c>
      <c r="AD129" s="50">
        <v>0</v>
      </c>
      <c r="AE129" s="24">
        <v>0</v>
      </c>
      <c r="AF129" s="24">
        <v>0</v>
      </c>
      <c r="AG129" s="24">
        <v>0</v>
      </c>
      <c r="AH129" s="22">
        <f t="shared" ref="AH129" si="938">+SUM(AI129:AM129)</f>
        <v>431106</v>
      </c>
      <c r="AI129" s="22">
        <f t="shared" ref="AI129" si="939">+W129+AC129</f>
        <v>193997.7</v>
      </c>
      <c r="AJ129" s="37">
        <f t="shared" ref="AJ129" si="940">+X129+AD129</f>
        <v>107776.5</v>
      </c>
      <c r="AK129" s="22">
        <f t="shared" ref="AK129" si="941">+Y129+AE129</f>
        <v>116398.62</v>
      </c>
      <c r="AL129" s="22">
        <f t="shared" ref="AL129" si="942">+Z129+AF129</f>
        <v>12933.18</v>
      </c>
      <c r="AM129" s="22">
        <f t="shared" ref="AM129" si="943">+AA129+AG129</f>
        <v>0</v>
      </c>
      <c r="AN129" s="53">
        <f>107776.5</f>
        <v>107776.5</v>
      </c>
      <c r="AO129" s="13">
        <f t="shared" ref="AO129" si="944">+IF(AJ129=0,"N/A",(AN129)/AJ129)</f>
        <v>1</v>
      </c>
      <c r="AP129" s="17">
        <f t="shared" ref="AP129" si="945">+AJ129-AN129</f>
        <v>0</v>
      </c>
      <c r="AQ129" s="33"/>
      <c r="AR129" s="128"/>
      <c r="AS129" s="128"/>
      <c r="AT129" s="128"/>
    </row>
    <row r="130" spans="1:46" s="2" customFormat="1" ht="25.5">
      <c r="A130" s="45" t="s">
        <v>534</v>
      </c>
      <c r="B130" s="38" t="s">
        <v>115</v>
      </c>
      <c r="C130" s="38" t="s">
        <v>115</v>
      </c>
      <c r="D130" s="14" t="s">
        <v>535</v>
      </c>
      <c r="E130" s="36" t="s">
        <v>536</v>
      </c>
      <c r="F130" s="46" t="s">
        <v>214</v>
      </c>
      <c r="G130" s="14"/>
      <c r="H130" s="48" t="s">
        <v>96</v>
      </c>
      <c r="I130" s="48">
        <v>22</v>
      </c>
      <c r="J130" s="48">
        <v>95</v>
      </c>
      <c r="K130" s="48">
        <v>22</v>
      </c>
      <c r="L130" s="16" t="s">
        <v>366</v>
      </c>
      <c r="M130" s="11" t="s">
        <v>53</v>
      </c>
      <c r="N130" s="14" t="s">
        <v>518</v>
      </c>
      <c r="O130" s="47">
        <v>42542</v>
      </c>
      <c r="P130" s="15"/>
      <c r="Q130" s="16"/>
      <c r="R130" s="14" t="s">
        <v>55</v>
      </c>
      <c r="S130" s="29">
        <v>42381</v>
      </c>
      <c r="T130" s="12" t="s">
        <v>43</v>
      </c>
      <c r="U130" s="10" t="s">
        <v>56</v>
      </c>
      <c r="V130" s="24">
        <f t="shared" ref="V130" si="946">+SUM(W130:AA130)</f>
        <v>948433.2</v>
      </c>
      <c r="W130" s="24">
        <v>426794.94</v>
      </c>
      <c r="X130" s="50">
        <v>237108.3</v>
      </c>
      <c r="Y130" s="24">
        <v>256076.96</v>
      </c>
      <c r="Z130" s="24">
        <v>28453</v>
      </c>
      <c r="AA130" s="24">
        <v>0</v>
      </c>
      <c r="AB130" s="24">
        <f t="shared" ref="AB130" si="947">+SUM(AC130:AG130)</f>
        <v>0</v>
      </c>
      <c r="AC130" s="24">
        <v>0</v>
      </c>
      <c r="AD130" s="50">
        <v>0</v>
      </c>
      <c r="AE130" s="24">
        <v>0</v>
      </c>
      <c r="AF130" s="24">
        <v>0</v>
      </c>
      <c r="AG130" s="24">
        <v>0</v>
      </c>
      <c r="AH130" s="22">
        <f t="shared" ref="AH130" si="948">+SUM(AI130:AM130)</f>
        <v>948433.2</v>
      </c>
      <c r="AI130" s="22">
        <f t="shared" ref="AI130" si="949">+W130+AC130</f>
        <v>426794.94</v>
      </c>
      <c r="AJ130" s="37">
        <f t="shared" ref="AJ130" si="950">+X130+AD130</f>
        <v>237108.3</v>
      </c>
      <c r="AK130" s="22">
        <f t="shared" ref="AK130" si="951">+Y130+AE130</f>
        <v>256076.96</v>
      </c>
      <c r="AL130" s="22">
        <f t="shared" ref="AL130" si="952">+Z130+AF130</f>
        <v>28453</v>
      </c>
      <c r="AM130" s="22">
        <f t="shared" ref="AM130" si="953">+AA130+AG130</f>
        <v>0</v>
      </c>
      <c r="AN130" s="53">
        <f>237108.3</f>
        <v>237108.3</v>
      </c>
      <c r="AO130" s="13">
        <f t="shared" ref="AO130" si="954">+IF(AJ130=0,"N/A",(AN130)/AJ130)</f>
        <v>1</v>
      </c>
      <c r="AP130" s="17">
        <f t="shared" ref="AP130" si="955">+AJ130-AN130</f>
        <v>0</v>
      </c>
      <c r="AQ130" s="33"/>
      <c r="AR130" s="128"/>
      <c r="AS130" s="128"/>
      <c r="AT130" s="128"/>
    </row>
    <row r="131" spans="1:46" s="2" customFormat="1" ht="25.5">
      <c r="A131" s="45" t="s">
        <v>537</v>
      </c>
      <c r="B131" s="38" t="s">
        <v>115</v>
      </c>
      <c r="C131" s="38" t="s">
        <v>115</v>
      </c>
      <c r="D131" s="14" t="s">
        <v>538</v>
      </c>
      <c r="E131" s="36" t="s">
        <v>539</v>
      </c>
      <c r="F131" s="46" t="s">
        <v>214</v>
      </c>
      <c r="G131" s="14"/>
      <c r="H131" s="48" t="s">
        <v>96</v>
      </c>
      <c r="I131" s="48">
        <v>2</v>
      </c>
      <c r="J131" s="48">
        <v>9</v>
      </c>
      <c r="K131" s="48">
        <v>2</v>
      </c>
      <c r="L131" s="16" t="s">
        <v>366</v>
      </c>
      <c r="M131" s="11" t="s">
        <v>53</v>
      </c>
      <c r="N131" s="14" t="s">
        <v>540</v>
      </c>
      <c r="O131" s="47">
        <v>42542</v>
      </c>
      <c r="P131" s="15"/>
      <c r="Q131" s="16"/>
      <c r="R131" s="14" t="s">
        <v>55</v>
      </c>
      <c r="S131" s="29">
        <v>42381</v>
      </c>
      <c r="T131" s="12" t="s">
        <v>43</v>
      </c>
      <c r="U131" s="10" t="s">
        <v>56</v>
      </c>
      <c r="V131" s="24">
        <f t="shared" ref="V131" si="956">+SUM(W131:AA131)</f>
        <v>86221.2</v>
      </c>
      <c r="W131" s="24">
        <v>38799.54</v>
      </c>
      <c r="X131" s="50">
        <v>21555.3</v>
      </c>
      <c r="Y131" s="24">
        <v>23279.72</v>
      </c>
      <c r="Z131" s="24">
        <v>2586.64</v>
      </c>
      <c r="AA131" s="24">
        <v>0</v>
      </c>
      <c r="AB131" s="24">
        <f t="shared" ref="AB131" si="957">+SUM(AC131:AG131)</f>
        <v>0</v>
      </c>
      <c r="AC131" s="24">
        <v>0</v>
      </c>
      <c r="AD131" s="50">
        <v>0</v>
      </c>
      <c r="AE131" s="24">
        <v>0</v>
      </c>
      <c r="AF131" s="24">
        <v>0</v>
      </c>
      <c r="AG131" s="24">
        <v>0</v>
      </c>
      <c r="AH131" s="22">
        <f t="shared" ref="AH131" si="958">+SUM(AI131:AM131)</f>
        <v>86221.2</v>
      </c>
      <c r="AI131" s="22">
        <f t="shared" ref="AI131" si="959">+W131+AC131</f>
        <v>38799.54</v>
      </c>
      <c r="AJ131" s="37">
        <f t="shared" ref="AJ131" si="960">+X131+AD131</f>
        <v>21555.3</v>
      </c>
      <c r="AK131" s="22">
        <f t="shared" ref="AK131" si="961">+Y131+AE131</f>
        <v>23279.72</v>
      </c>
      <c r="AL131" s="22">
        <f t="shared" ref="AL131" si="962">+Z131+AF131</f>
        <v>2586.64</v>
      </c>
      <c r="AM131" s="22">
        <f t="shared" ref="AM131" si="963">+AA131+AG131</f>
        <v>0</v>
      </c>
      <c r="AN131" s="53">
        <f>21555.3</f>
        <v>21555.3</v>
      </c>
      <c r="AO131" s="13">
        <f t="shared" ref="AO131" si="964">+IF(AJ131=0,"N/A",(AN131)/AJ131)</f>
        <v>1</v>
      </c>
      <c r="AP131" s="17">
        <f t="shared" ref="AP131" si="965">+AJ131-AN131</f>
        <v>0</v>
      </c>
      <c r="AQ131" s="33"/>
      <c r="AR131" s="128"/>
      <c r="AS131" s="128"/>
      <c r="AT131" s="128"/>
    </row>
    <row r="132" spans="1:46" s="2" customFormat="1" ht="25.5">
      <c r="A132" s="45" t="s">
        <v>541</v>
      </c>
      <c r="B132" s="38" t="s">
        <v>115</v>
      </c>
      <c r="C132" s="38" t="s">
        <v>115</v>
      </c>
      <c r="D132" s="14" t="s">
        <v>542</v>
      </c>
      <c r="E132" s="36" t="s">
        <v>543</v>
      </c>
      <c r="F132" s="46" t="s">
        <v>214</v>
      </c>
      <c r="G132" s="14"/>
      <c r="H132" s="48" t="s">
        <v>96</v>
      </c>
      <c r="I132" s="48">
        <v>24</v>
      </c>
      <c r="J132" s="48">
        <v>116</v>
      </c>
      <c r="K132" s="48">
        <v>24</v>
      </c>
      <c r="L132" s="16" t="s">
        <v>366</v>
      </c>
      <c r="M132" s="11" t="s">
        <v>53</v>
      </c>
      <c r="N132" s="14" t="s">
        <v>540</v>
      </c>
      <c r="O132" s="47">
        <v>42542</v>
      </c>
      <c r="P132" s="15"/>
      <c r="Q132" s="16"/>
      <c r="R132" s="14" t="s">
        <v>55</v>
      </c>
      <c r="S132" s="29">
        <v>42381</v>
      </c>
      <c r="T132" s="12" t="s">
        <v>43</v>
      </c>
      <c r="U132" s="10" t="s">
        <v>56</v>
      </c>
      <c r="V132" s="24">
        <f t="shared" ref="V132" si="966">+SUM(W132:AA132)</f>
        <v>1034654.4</v>
      </c>
      <c r="W132" s="24">
        <v>465594.48</v>
      </c>
      <c r="X132" s="50">
        <v>258663.6</v>
      </c>
      <c r="Y132" s="24">
        <v>279356.69</v>
      </c>
      <c r="Z132" s="24">
        <v>31039.63</v>
      </c>
      <c r="AA132" s="24">
        <v>0</v>
      </c>
      <c r="AB132" s="24">
        <f t="shared" ref="AB132" si="967">+SUM(AC132:AG132)</f>
        <v>0</v>
      </c>
      <c r="AC132" s="24">
        <v>0</v>
      </c>
      <c r="AD132" s="50">
        <v>0</v>
      </c>
      <c r="AE132" s="24">
        <v>0</v>
      </c>
      <c r="AF132" s="24">
        <v>0</v>
      </c>
      <c r="AG132" s="24">
        <v>0</v>
      </c>
      <c r="AH132" s="22">
        <f t="shared" ref="AH132" si="968">+SUM(AI132:AM132)</f>
        <v>1034654.4</v>
      </c>
      <c r="AI132" s="22">
        <f t="shared" ref="AI132" si="969">+W132+AC132</f>
        <v>465594.48</v>
      </c>
      <c r="AJ132" s="37">
        <f t="shared" ref="AJ132" si="970">+X132+AD132</f>
        <v>258663.6</v>
      </c>
      <c r="AK132" s="22">
        <f t="shared" ref="AK132" si="971">+Y132+AE132</f>
        <v>279356.69</v>
      </c>
      <c r="AL132" s="22">
        <f t="shared" ref="AL132" si="972">+Z132+AF132</f>
        <v>31039.63</v>
      </c>
      <c r="AM132" s="22">
        <f t="shared" ref="AM132" si="973">+AA132+AG132</f>
        <v>0</v>
      </c>
      <c r="AN132" s="53">
        <f>258663.6</f>
        <v>258663.6</v>
      </c>
      <c r="AO132" s="13">
        <f t="shared" ref="AO132" si="974">+IF(AJ132=0,"N/A",(AN132)/AJ132)</f>
        <v>1</v>
      </c>
      <c r="AP132" s="17">
        <f t="shared" ref="AP132" si="975">+AJ132-AN132</f>
        <v>0</v>
      </c>
      <c r="AQ132" s="33"/>
      <c r="AR132" s="128"/>
      <c r="AS132" s="128"/>
      <c r="AT132" s="128"/>
    </row>
    <row r="133" spans="1:46" s="2" customFormat="1" ht="25.5">
      <c r="A133" s="45" t="s">
        <v>544</v>
      </c>
      <c r="B133" s="38" t="s">
        <v>115</v>
      </c>
      <c r="C133" s="38" t="s">
        <v>115</v>
      </c>
      <c r="D133" s="14" t="s">
        <v>545</v>
      </c>
      <c r="E133" s="36" t="s">
        <v>546</v>
      </c>
      <c r="F133" s="46" t="s">
        <v>214</v>
      </c>
      <c r="G133" s="14"/>
      <c r="H133" s="48" t="s">
        <v>96</v>
      </c>
      <c r="I133" s="48">
        <v>17</v>
      </c>
      <c r="J133" s="48">
        <v>75</v>
      </c>
      <c r="K133" s="48">
        <v>17</v>
      </c>
      <c r="L133" s="16" t="s">
        <v>366</v>
      </c>
      <c r="M133" s="11" t="s">
        <v>53</v>
      </c>
      <c r="N133" s="14" t="s">
        <v>540</v>
      </c>
      <c r="O133" s="47">
        <v>42542</v>
      </c>
      <c r="P133" s="15"/>
      <c r="Q133" s="16"/>
      <c r="R133" s="14" t="s">
        <v>55</v>
      </c>
      <c r="S133" s="29">
        <v>42381</v>
      </c>
      <c r="T133" s="12" t="s">
        <v>43</v>
      </c>
      <c r="U133" s="10" t="s">
        <v>56</v>
      </c>
      <c r="V133" s="24">
        <f t="shared" ref="V133" si="976">+SUM(W133:AA133)</f>
        <v>732880.20000000007</v>
      </c>
      <c r="W133" s="24">
        <v>329796.09000000003</v>
      </c>
      <c r="X133" s="50">
        <v>183220.05</v>
      </c>
      <c r="Y133" s="24">
        <v>197877.65</v>
      </c>
      <c r="Z133" s="24">
        <v>21986.41</v>
      </c>
      <c r="AA133" s="24">
        <v>0</v>
      </c>
      <c r="AB133" s="24">
        <f t="shared" ref="AB133" si="977">+SUM(AC133:AG133)</f>
        <v>0</v>
      </c>
      <c r="AC133" s="24">
        <v>0</v>
      </c>
      <c r="AD133" s="50">
        <v>0</v>
      </c>
      <c r="AE133" s="24">
        <v>0</v>
      </c>
      <c r="AF133" s="24">
        <v>0</v>
      </c>
      <c r="AG133" s="24">
        <v>0</v>
      </c>
      <c r="AH133" s="22">
        <f t="shared" ref="AH133" si="978">+SUM(AI133:AM133)</f>
        <v>732880.20000000007</v>
      </c>
      <c r="AI133" s="22">
        <f t="shared" ref="AI133" si="979">+W133+AC133</f>
        <v>329796.09000000003</v>
      </c>
      <c r="AJ133" s="37">
        <f t="shared" ref="AJ133" si="980">+X133+AD133</f>
        <v>183220.05</v>
      </c>
      <c r="AK133" s="22">
        <f t="shared" ref="AK133" si="981">+Y133+AE133</f>
        <v>197877.65</v>
      </c>
      <c r="AL133" s="22">
        <f t="shared" ref="AL133" si="982">+Z133+AF133</f>
        <v>21986.41</v>
      </c>
      <c r="AM133" s="22">
        <f t="shared" ref="AM133" si="983">+AA133+AG133</f>
        <v>0</v>
      </c>
      <c r="AN133" s="53">
        <f>183220.05</f>
        <v>183220.05</v>
      </c>
      <c r="AO133" s="13">
        <f t="shared" ref="AO133" si="984">+IF(AJ133=0,"N/A",(AN133)/AJ133)</f>
        <v>1</v>
      </c>
      <c r="AP133" s="17">
        <f t="shared" ref="AP133" si="985">+AJ133-AN133</f>
        <v>0</v>
      </c>
      <c r="AQ133" s="33"/>
      <c r="AR133" s="128"/>
      <c r="AS133" s="128"/>
      <c r="AT133" s="128"/>
    </row>
    <row r="134" spans="1:46" s="2" customFormat="1" ht="38.25">
      <c r="A134" s="45" t="s">
        <v>547</v>
      </c>
      <c r="B134" s="38" t="s">
        <v>115</v>
      </c>
      <c r="C134" s="38" t="s">
        <v>115</v>
      </c>
      <c r="D134" s="14" t="s">
        <v>548</v>
      </c>
      <c r="E134" s="36" t="s">
        <v>549</v>
      </c>
      <c r="F134" s="46" t="s">
        <v>214</v>
      </c>
      <c r="G134" s="14"/>
      <c r="H134" s="48" t="s">
        <v>96</v>
      </c>
      <c r="I134" s="48">
        <v>11</v>
      </c>
      <c r="J134" s="48">
        <v>49</v>
      </c>
      <c r="K134" s="48">
        <v>11</v>
      </c>
      <c r="L134" s="16" t="s">
        <v>366</v>
      </c>
      <c r="M134" s="11" t="s">
        <v>53</v>
      </c>
      <c r="N134" s="14" t="s">
        <v>540</v>
      </c>
      <c r="O134" s="47">
        <v>42542</v>
      </c>
      <c r="P134" s="15"/>
      <c r="Q134" s="16"/>
      <c r="R134" s="14" t="s">
        <v>55</v>
      </c>
      <c r="S134" s="29">
        <v>42381</v>
      </c>
      <c r="T134" s="12" t="s">
        <v>43</v>
      </c>
      <c r="U134" s="10" t="s">
        <v>56</v>
      </c>
      <c r="V134" s="24">
        <f t="shared" ref="V134" si="986">+SUM(W134:AA134)</f>
        <v>474216.6</v>
      </c>
      <c r="W134" s="24">
        <v>213397.47</v>
      </c>
      <c r="X134" s="50">
        <v>118554.15</v>
      </c>
      <c r="Y134" s="24">
        <v>128038.48</v>
      </c>
      <c r="Z134" s="24">
        <v>14226.5</v>
      </c>
      <c r="AA134" s="24">
        <v>0</v>
      </c>
      <c r="AB134" s="24">
        <f t="shared" ref="AB134" si="987">+SUM(AC134:AG134)</f>
        <v>0</v>
      </c>
      <c r="AC134" s="24">
        <v>0</v>
      </c>
      <c r="AD134" s="50">
        <v>0</v>
      </c>
      <c r="AE134" s="24">
        <v>0</v>
      </c>
      <c r="AF134" s="24">
        <v>0</v>
      </c>
      <c r="AG134" s="24">
        <v>0</v>
      </c>
      <c r="AH134" s="22">
        <f t="shared" ref="AH134" si="988">+SUM(AI134:AM134)</f>
        <v>474216.6</v>
      </c>
      <c r="AI134" s="22">
        <f t="shared" ref="AI134" si="989">+W134+AC134</f>
        <v>213397.47</v>
      </c>
      <c r="AJ134" s="37">
        <f t="shared" ref="AJ134" si="990">+X134+AD134</f>
        <v>118554.15</v>
      </c>
      <c r="AK134" s="22">
        <f t="shared" ref="AK134" si="991">+Y134+AE134</f>
        <v>128038.48</v>
      </c>
      <c r="AL134" s="22">
        <f t="shared" ref="AL134" si="992">+Z134+AF134</f>
        <v>14226.5</v>
      </c>
      <c r="AM134" s="22">
        <f t="shared" ref="AM134" si="993">+AA134+AG134</f>
        <v>0</v>
      </c>
      <c r="AN134" s="53">
        <f>118554.15</f>
        <v>118554.15</v>
      </c>
      <c r="AO134" s="13">
        <f t="shared" ref="AO134" si="994">+IF(AJ134=0,"N/A",(AN134)/AJ134)</f>
        <v>1</v>
      </c>
      <c r="AP134" s="17">
        <f t="shared" ref="AP134" si="995">+AJ134-AN134</f>
        <v>0</v>
      </c>
      <c r="AQ134" s="33"/>
      <c r="AR134" s="128"/>
      <c r="AS134" s="128"/>
      <c r="AT134" s="128"/>
    </row>
    <row r="135" spans="1:46" s="2" customFormat="1" ht="25.5">
      <c r="A135" s="45" t="s">
        <v>550</v>
      </c>
      <c r="B135" s="38" t="s">
        <v>64</v>
      </c>
      <c r="C135" s="38" t="s">
        <v>64</v>
      </c>
      <c r="D135" s="14" t="s">
        <v>64</v>
      </c>
      <c r="E135" s="36" t="s">
        <v>551</v>
      </c>
      <c r="F135" s="46" t="s">
        <v>214</v>
      </c>
      <c r="G135" s="14"/>
      <c r="H135" s="48" t="s">
        <v>96</v>
      </c>
      <c r="I135" s="48">
        <v>51</v>
      </c>
      <c r="J135" s="48">
        <v>207</v>
      </c>
      <c r="K135" s="48">
        <v>51</v>
      </c>
      <c r="L135" s="16" t="s">
        <v>366</v>
      </c>
      <c r="M135" s="11" t="s">
        <v>53</v>
      </c>
      <c r="N135" s="14" t="s">
        <v>552</v>
      </c>
      <c r="O135" s="47">
        <v>42542</v>
      </c>
      <c r="P135" s="15"/>
      <c r="Q135" s="16"/>
      <c r="R135" s="14" t="s">
        <v>55</v>
      </c>
      <c r="S135" s="29">
        <v>42381</v>
      </c>
      <c r="T135" s="12" t="s">
        <v>43</v>
      </c>
      <c r="U135" s="10" t="s">
        <v>56</v>
      </c>
      <c r="V135" s="24">
        <f t="shared" ref="V135" si="996">+SUM(W135:AA135)</f>
        <v>2198640.6</v>
      </c>
      <c r="W135" s="24">
        <v>989388.27</v>
      </c>
      <c r="X135" s="50">
        <v>549660.15</v>
      </c>
      <c r="Y135" s="24">
        <v>593632.96</v>
      </c>
      <c r="Z135" s="24">
        <v>65959.22</v>
      </c>
      <c r="AA135" s="24">
        <v>0</v>
      </c>
      <c r="AB135" s="24">
        <f t="shared" ref="AB135" si="997">+SUM(AC135:AG135)</f>
        <v>0</v>
      </c>
      <c r="AC135" s="24">
        <v>0</v>
      </c>
      <c r="AD135" s="50">
        <v>0</v>
      </c>
      <c r="AE135" s="24">
        <v>0</v>
      </c>
      <c r="AF135" s="24">
        <v>0</v>
      </c>
      <c r="AG135" s="24">
        <v>0</v>
      </c>
      <c r="AH135" s="22">
        <f t="shared" ref="AH135" si="998">+SUM(AI135:AM135)</f>
        <v>2198640.6</v>
      </c>
      <c r="AI135" s="22">
        <f t="shared" ref="AI135" si="999">+W135+AC135</f>
        <v>989388.27</v>
      </c>
      <c r="AJ135" s="37">
        <f t="shared" ref="AJ135" si="1000">+X135+AD135</f>
        <v>549660.15</v>
      </c>
      <c r="AK135" s="22">
        <f t="shared" ref="AK135" si="1001">+Y135+AE135</f>
        <v>593632.96</v>
      </c>
      <c r="AL135" s="22">
        <f t="shared" ref="AL135" si="1002">+Z135+AF135</f>
        <v>65959.22</v>
      </c>
      <c r="AM135" s="22">
        <f t="shared" ref="AM135" si="1003">+AA135+AG135</f>
        <v>0</v>
      </c>
      <c r="AN135" s="53">
        <f>549660.15</f>
        <v>549660.15</v>
      </c>
      <c r="AO135" s="13">
        <f t="shared" ref="AO135" si="1004">+IF(AJ135=0,"N/A",(AN135)/AJ135)</f>
        <v>1</v>
      </c>
      <c r="AP135" s="17">
        <f t="shared" ref="AP135" si="1005">+AJ135-AN135</f>
        <v>0</v>
      </c>
      <c r="AQ135" s="33"/>
      <c r="AR135" s="128"/>
      <c r="AS135" s="128"/>
      <c r="AT135" s="128"/>
    </row>
    <row r="136" spans="1:46" s="2" customFormat="1" ht="25.5">
      <c r="A136" s="45" t="s">
        <v>470</v>
      </c>
      <c r="B136" s="38" t="s">
        <v>466</v>
      </c>
      <c r="C136" s="38" t="s">
        <v>466</v>
      </c>
      <c r="D136" s="14" t="s">
        <v>466</v>
      </c>
      <c r="E136" s="36" t="s">
        <v>467</v>
      </c>
      <c r="F136" s="46" t="s">
        <v>214</v>
      </c>
      <c r="G136" s="14"/>
      <c r="H136" s="48" t="s">
        <v>96</v>
      </c>
      <c r="I136" s="48">
        <v>50</v>
      </c>
      <c r="J136" s="48">
        <v>186</v>
      </c>
      <c r="K136" s="48">
        <v>50</v>
      </c>
      <c r="L136" s="16" t="s">
        <v>366</v>
      </c>
      <c r="M136" s="11" t="s">
        <v>53</v>
      </c>
      <c r="N136" s="14" t="s">
        <v>468</v>
      </c>
      <c r="O136" s="47">
        <v>42542</v>
      </c>
      <c r="P136" s="15"/>
      <c r="Q136" s="16"/>
      <c r="R136" s="14" t="s">
        <v>55</v>
      </c>
      <c r="S136" s="29">
        <v>42381</v>
      </c>
      <c r="T136" s="12" t="s">
        <v>43</v>
      </c>
      <c r="U136" s="10" t="s">
        <v>56</v>
      </c>
      <c r="V136" s="24">
        <f t="shared" si="876"/>
        <v>2155530</v>
      </c>
      <c r="W136" s="24">
        <v>969988.5</v>
      </c>
      <c r="X136" s="50">
        <v>538882.5</v>
      </c>
      <c r="Y136" s="24">
        <v>581993.1</v>
      </c>
      <c r="Z136" s="24">
        <v>64665.9</v>
      </c>
      <c r="AA136" s="24">
        <v>0</v>
      </c>
      <c r="AB136" s="24">
        <f t="shared" si="877"/>
        <v>0</v>
      </c>
      <c r="AC136" s="24">
        <v>0</v>
      </c>
      <c r="AD136" s="50">
        <v>0</v>
      </c>
      <c r="AE136" s="24">
        <v>0</v>
      </c>
      <c r="AF136" s="24">
        <v>0</v>
      </c>
      <c r="AG136" s="24">
        <v>0</v>
      </c>
      <c r="AH136" s="22">
        <f t="shared" si="878"/>
        <v>2155530</v>
      </c>
      <c r="AI136" s="22">
        <f t="shared" si="879"/>
        <v>969988.5</v>
      </c>
      <c r="AJ136" s="37">
        <f t="shared" si="880"/>
        <v>538882.5</v>
      </c>
      <c r="AK136" s="22">
        <f t="shared" si="881"/>
        <v>581993.1</v>
      </c>
      <c r="AL136" s="22">
        <f t="shared" si="882"/>
        <v>64665.9</v>
      </c>
      <c r="AM136" s="22">
        <f t="shared" si="883"/>
        <v>0</v>
      </c>
      <c r="AN136" s="53">
        <f>538882.5</f>
        <v>538882.5</v>
      </c>
      <c r="AO136" s="13">
        <f t="shared" si="884"/>
        <v>1</v>
      </c>
      <c r="AP136" s="17">
        <f t="shared" si="885"/>
        <v>0</v>
      </c>
      <c r="AQ136" s="33"/>
      <c r="AR136" s="128"/>
      <c r="AS136" s="128"/>
      <c r="AT136" s="128"/>
    </row>
    <row r="137" spans="1:46" s="2" customFormat="1" ht="25.5">
      <c r="A137" s="45" t="s">
        <v>465</v>
      </c>
      <c r="B137" s="38" t="s">
        <v>466</v>
      </c>
      <c r="C137" s="38" t="s">
        <v>466</v>
      </c>
      <c r="D137" s="14" t="s">
        <v>466</v>
      </c>
      <c r="E137" s="36" t="s">
        <v>467</v>
      </c>
      <c r="F137" s="46" t="s">
        <v>214</v>
      </c>
      <c r="G137" s="14"/>
      <c r="H137" s="48" t="s">
        <v>96</v>
      </c>
      <c r="I137" s="48">
        <v>50</v>
      </c>
      <c r="J137" s="48">
        <v>186</v>
      </c>
      <c r="K137" s="48">
        <v>50</v>
      </c>
      <c r="L137" s="16" t="s">
        <v>366</v>
      </c>
      <c r="M137" s="11" t="s">
        <v>53</v>
      </c>
      <c r="N137" s="14" t="s">
        <v>468</v>
      </c>
      <c r="O137" s="47">
        <v>42542</v>
      </c>
      <c r="P137" s="15"/>
      <c r="Q137" s="16"/>
      <c r="R137" s="14" t="s">
        <v>55</v>
      </c>
      <c r="S137" s="29">
        <v>42381</v>
      </c>
      <c r="T137" s="12" t="s">
        <v>43</v>
      </c>
      <c r="U137" s="10" t="s">
        <v>56</v>
      </c>
      <c r="V137" s="24">
        <f t="shared" ref="V137" si="1006">+SUM(W137:AA137)</f>
        <v>2155530</v>
      </c>
      <c r="W137" s="24">
        <v>969988.5</v>
      </c>
      <c r="X137" s="50">
        <v>538882.5</v>
      </c>
      <c r="Y137" s="24">
        <v>581993.1</v>
      </c>
      <c r="Z137" s="24">
        <v>64665.9</v>
      </c>
      <c r="AA137" s="24">
        <v>0</v>
      </c>
      <c r="AB137" s="24">
        <f t="shared" ref="AB137" si="1007">+SUM(AC137:AG137)</f>
        <v>0</v>
      </c>
      <c r="AC137" s="24">
        <v>0</v>
      </c>
      <c r="AD137" s="50">
        <v>0</v>
      </c>
      <c r="AE137" s="24">
        <v>0</v>
      </c>
      <c r="AF137" s="24">
        <v>0</v>
      </c>
      <c r="AG137" s="24">
        <v>0</v>
      </c>
      <c r="AH137" s="22">
        <f t="shared" ref="AH137" si="1008">+SUM(AI137:AM137)</f>
        <v>2155530</v>
      </c>
      <c r="AI137" s="22">
        <f t="shared" ref="AI137" si="1009">+W137+AC137</f>
        <v>969988.5</v>
      </c>
      <c r="AJ137" s="37">
        <f t="shared" ref="AJ137" si="1010">+X137+AD137</f>
        <v>538882.5</v>
      </c>
      <c r="AK137" s="22">
        <f t="shared" ref="AK137" si="1011">+Y137+AE137</f>
        <v>581993.1</v>
      </c>
      <c r="AL137" s="22">
        <f t="shared" ref="AL137" si="1012">+Z137+AF137</f>
        <v>64665.9</v>
      </c>
      <c r="AM137" s="22">
        <f t="shared" ref="AM137" si="1013">+AA137+AG137</f>
        <v>0</v>
      </c>
      <c r="AN137" s="53">
        <f>538882.5</f>
        <v>538882.5</v>
      </c>
      <c r="AO137" s="13">
        <f t="shared" ref="AO137" si="1014">+IF(AJ137=0,"N/A",(AN137)/AJ137)</f>
        <v>1</v>
      </c>
      <c r="AP137" s="17">
        <f t="shared" ref="AP137" si="1015">+AJ137-AN137</f>
        <v>0</v>
      </c>
      <c r="AQ137" s="33"/>
      <c r="AR137" s="128"/>
      <c r="AS137" s="128"/>
      <c r="AT137" s="128"/>
    </row>
    <row r="138" spans="1:46" s="2" customFormat="1" ht="25.5">
      <c r="A138" s="45" t="s">
        <v>469</v>
      </c>
      <c r="B138" s="38" t="s">
        <v>466</v>
      </c>
      <c r="C138" s="38" t="s">
        <v>466</v>
      </c>
      <c r="D138" s="14" t="s">
        <v>466</v>
      </c>
      <c r="E138" s="36" t="s">
        <v>467</v>
      </c>
      <c r="F138" s="46" t="s">
        <v>214</v>
      </c>
      <c r="G138" s="14"/>
      <c r="H138" s="48" t="s">
        <v>96</v>
      </c>
      <c r="I138" s="48">
        <v>50</v>
      </c>
      <c r="J138" s="48">
        <v>186</v>
      </c>
      <c r="K138" s="48">
        <v>50</v>
      </c>
      <c r="L138" s="16" t="s">
        <v>366</v>
      </c>
      <c r="M138" s="11" t="s">
        <v>53</v>
      </c>
      <c r="N138" s="14" t="s">
        <v>468</v>
      </c>
      <c r="O138" s="47">
        <v>42542</v>
      </c>
      <c r="P138" s="15"/>
      <c r="Q138" s="16"/>
      <c r="R138" s="14" t="s">
        <v>55</v>
      </c>
      <c r="S138" s="29">
        <v>42381</v>
      </c>
      <c r="T138" s="12" t="s">
        <v>43</v>
      </c>
      <c r="U138" s="10" t="s">
        <v>56</v>
      </c>
      <c r="V138" s="24">
        <f t="shared" ref="V138" si="1016">+SUM(W138:AA138)</f>
        <v>2155530</v>
      </c>
      <c r="W138" s="24">
        <v>969988.5</v>
      </c>
      <c r="X138" s="50">
        <v>538882.5</v>
      </c>
      <c r="Y138" s="24">
        <v>581993.1</v>
      </c>
      <c r="Z138" s="24">
        <v>64665.9</v>
      </c>
      <c r="AA138" s="24">
        <v>0</v>
      </c>
      <c r="AB138" s="24">
        <f t="shared" ref="AB138" si="1017">+SUM(AC138:AG138)</f>
        <v>0</v>
      </c>
      <c r="AC138" s="24">
        <v>0</v>
      </c>
      <c r="AD138" s="50">
        <v>0</v>
      </c>
      <c r="AE138" s="24">
        <v>0</v>
      </c>
      <c r="AF138" s="24">
        <v>0</v>
      </c>
      <c r="AG138" s="24">
        <v>0</v>
      </c>
      <c r="AH138" s="22">
        <f t="shared" ref="AH138" si="1018">+SUM(AI138:AM138)</f>
        <v>2155530</v>
      </c>
      <c r="AI138" s="22">
        <f t="shared" ref="AI138" si="1019">+W138+AC138</f>
        <v>969988.5</v>
      </c>
      <c r="AJ138" s="37">
        <f t="shared" ref="AJ138" si="1020">+X138+AD138</f>
        <v>538882.5</v>
      </c>
      <c r="AK138" s="22">
        <f t="shared" ref="AK138" si="1021">+Y138+AE138</f>
        <v>581993.1</v>
      </c>
      <c r="AL138" s="22">
        <f t="shared" ref="AL138" si="1022">+Z138+AF138</f>
        <v>64665.9</v>
      </c>
      <c r="AM138" s="22">
        <f t="shared" ref="AM138" si="1023">+AA138+AG138</f>
        <v>0</v>
      </c>
      <c r="AN138" s="53">
        <f>538882.5</f>
        <v>538882.5</v>
      </c>
      <c r="AO138" s="13">
        <f t="shared" ref="AO138" si="1024">+IF(AJ138=0,"N/A",(AN138)/AJ138)</f>
        <v>1</v>
      </c>
      <c r="AP138" s="17">
        <f t="shared" ref="AP138" si="1025">+AJ138-AN138</f>
        <v>0</v>
      </c>
      <c r="AQ138" s="33"/>
      <c r="AR138" s="128"/>
      <c r="AS138" s="128"/>
      <c r="AT138" s="128"/>
    </row>
    <row r="139" spans="1:46" s="2" customFormat="1" ht="25.5">
      <c r="A139" s="45" t="s">
        <v>471</v>
      </c>
      <c r="B139" s="38" t="s">
        <v>466</v>
      </c>
      <c r="C139" s="38" t="s">
        <v>466</v>
      </c>
      <c r="D139" s="14" t="s">
        <v>466</v>
      </c>
      <c r="E139" s="36" t="s">
        <v>467</v>
      </c>
      <c r="F139" s="46" t="s">
        <v>214</v>
      </c>
      <c r="G139" s="14"/>
      <c r="H139" s="48" t="s">
        <v>96</v>
      </c>
      <c r="I139" s="48">
        <v>50</v>
      </c>
      <c r="J139" s="48">
        <v>186</v>
      </c>
      <c r="K139" s="48">
        <v>50</v>
      </c>
      <c r="L139" s="16" t="s">
        <v>366</v>
      </c>
      <c r="M139" s="11" t="s">
        <v>53</v>
      </c>
      <c r="N139" s="14" t="s">
        <v>468</v>
      </c>
      <c r="O139" s="47">
        <v>42542</v>
      </c>
      <c r="P139" s="15"/>
      <c r="Q139" s="16"/>
      <c r="R139" s="14" t="s">
        <v>55</v>
      </c>
      <c r="S139" s="29">
        <v>42381</v>
      </c>
      <c r="T139" s="12" t="s">
        <v>43</v>
      </c>
      <c r="U139" s="10" t="s">
        <v>56</v>
      </c>
      <c r="V139" s="24">
        <f t="shared" ref="V139:V144" si="1026">+SUM(W139:AA139)</f>
        <v>2155530</v>
      </c>
      <c r="W139" s="24">
        <v>969988.5</v>
      </c>
      <c r="X139" s="50">
        <v>538882.5</v>
      </c>
      <c r="Y139" s="24">
        <v>581993.1</v>
      </c>
      <c r="Z139" s="24">
        <v>64665.9</v>
      </c>
      <c r="AA139" s="24">
        <v>0</v>
      </c>
      <c r="AB139" s="24">
        <f t="shared" ref="AB139:AB144" si="1027">+SUM(AC139:AG139)</f>
        <v>0</v>
      </c>
      <c r="AC139" s="24">
        <v>0</v>
      </c>
      <c r="AD139" s="50">
        <v>0</v>
      </c>
      <c r="AE139" s="24">
        <v>0</v>
      </c>
      <c r="AF139" s="24">
        <v>0</v>
      </c>
      <c r="AG139" s="24">
        <v>0</v>
      </c>
      <c r="AH139" s="22">
        <f t="shared" ref="AH139:AH144" si="1028">+SUM(AI139:AM139)</f>
        <v>2155530</v>
      </c>
      <c r="AI139" s="22">
        <f t="shared" ref="AI139:AI144" si="1029">+W139+AC139</f>
        <v>969988.5</v>
      </c>
      <c r="AJ139" s="37">
        <f t="shared" ref="AJ139:AJ144" si="1030">+X139+AD139</f>
        <v>538882.5</v>
      </c>
      <c r="AK139" s="22">
        <f t="shared" ref="AK139:AK144" si="1031">+Y139+AE139</f>
        <v>581993.1</v>
      </c>
      <c r="AL139" s="22">
        <f t="shared" ref="AL139:AL144" si="1032">+Z139+AF139</f>
        <v>64665.9</v>
      </c>
      <c r="AM139" s="22">
        <f t="shared" ref="AM139:AM144" si="1033">+AA139+AG139</f>
        <v>0</v>
      </c>
      <c r="AN139" s="53">
        <f>538882.5</f>
        <v>538882.5</v>
      </c>
      <c r="AO139" s="13">
        <f t="shared" ref="AO139:AO144" si="1034">+IF(AJ139=0,"N/A",(AN139)/AJ139)</f>
        <v>1</v>
      </c>
      <c r="AP139" s="17">
        <f t="shared" ref="AP139:AP144" si="1035">+AJ139-AN139</f>
        <v>0</v>
      </c>
      <c r="AQ139" s="33"/>
      <c r="AR139" s="128"/>
      <c r="AS139" s="128"/>
      <c r="AT139" s="128"/>
    </row>
    <row r="140" spans="1:46" s="2" customFormat="1" ht="25.5">
      <c r="A140" s="45" t="s">
        <v>553</v>
      </c>
      <c r="B140" s="38" t="s">
        <v>554</v>
      </c>
      <c r="C140" s="38" t="s">
        <v>554</v>
      </c>
      <c r="D140" s="14" t="s">
        <v>554</v>
      </c>
      <c r="E140" s="36" t="s">
        <v>555</v>
      </c>
      <c r="F140" s="46" t="s">
        <v>214</v>
      </c>
      <c r="G140" s="14"/>
      <c r="H140" s="48" t="s">
        <v>96</v>
      </c>
      <c r="I140" s="48">
        <v>49</v>
      </c>
      <c r="J140" s="48">
        <v>199</v>
      </c>
      <c r="K140" s="48">
        <v>49</v>
      </c>
      <c r="L140" s="16" t="s">
        <v>366</v>
      </c>
      <c r="M140" s="11" t="s">
        <v>53</v>
      </c>
      <c r="N140" s="14" t="s">
        <v>556</v>
      </c>
      <c r="O140" s="47">
        <v>42542</v>
      </c>
      <c r="P140" s="15"/>
      <c r="Q140" s="16"/>
      <c r="R140" s="14" t="s">
        <v>55</v>
      </c>
      <c r="S140" s="29">
        <v>42381</v>
      </c>
      <c r="T140" s="12" t="s">
        <v>43</v>
      </c>
      <c r="U140" s="10" t="s">
        <v>56</v>
      </c>
      <c r="V140" s="24">
        <f t="shared" ref="V140" si="1036">+SUM(W140:AA140)</f>
        <v>2112419.4</v>
      </c>
      <c r="W140" s="24">
        <v>950588.73</v>
      </c>
      <c r="X140" s="50">
        <v>528104.85</v>
      </c>
      <c r="Y140" s="24">
        <v>570353.24</v>
      </c>
      <c r="Z140" s="24">
        <v>63372.58</v>
      </c>
      <c r="AA140" s="24">
        <v>0</v>
      </c>
      <c r="AB140" s="24">
        <f t="shared" ref="AB140" si="1037">+SUM(AC140:AG140)</f>
        <v>0</v>
      </c>
      <c r="AC140" s="24">
        <v>0</v>
      </c>
      <c r="AD140" s="50">
        <v>0</v>
      </c>
      <c r="AE140" s="24">
        <v>0</v>
      </c>
      <c r="AF140" s="24">
        <v>0</v>
      </c>
      <c r="AG140" s="24">
        <v>0</v>
      </c>
      <c r="AH140" s="22">
        <f t="shared" ref="AH140" si="1038">+SUM(AI140:AM140)</f>
        <v>2112419.4</v>
      </c>
      <c r="AI140" s="22">
        <f t="shared" ref="AI140" si="1039">+W140+AC140</f>
        <v>950588.73</v>
      </c>
      <c r="AJ140" s="37">
        <f t="shared" ref="AJ140" si="1040">+X140+AD140</f>
        <v>528104.85</v>
      </c>
      <c r="AK140" s="22">
        <f t="shared" ref="AK140" si="1041">+Y140+AE140</f>
        <v>570353.24</v>
      </c>
      <c r="AL140" s="22">
        <f t="shared" ref="AL140" si="1042">+Z140+AF140</f>
        <v>63372.58</v>
      </c>
      <c r="AM140" s="22">
        <f t="shared" ref="AM140" si="1043">+AA140+AG140</f>
        <v>0</v>
      </c>
      <c r="AN140" s="53">
        <f>528104.85</f>
        <v>528104.85</v>
      </c>
      <c r="AO140" s="13">
        <f t="shared" ref="AO140" si="1044">+IF(AJ140=0,"N/A",(AN140)/AJ140)</f>
        <v>1</v>
      </c>
      <c r="AP140" s="17">
        <f t="shared" ref="AP140" si="1045">+AJ140-AN140</f>
        <v>0</v>
      </c>
      <c r="AQ140" s="33"/>
      <c r="AR140" s="128"/>
      <c r="AS140" s="128"/>
      <c r="AT140" s="128"/>
    </row>
    <row r="141" spans="1:46" s="2" customFormat="1" ht="25.5">
      <c r="A141" s="45" t="s">
        <v>557</v>
      </c>
      <c r="B141" s="38" t="s">
        <v>364</v>
      </c>
      <c r="C141" s="38" t="s">
        <v>558</v>
      </c>
      <c r="D141" s="14" t="s">
        <v>558</v>
      </c>
      <c r="E141" s="36" t="s">
        <v>559</v>
      </c>
      <c r="F141" s="46" t="s">
        <v>214</v>
      </c>
      <c r="G141" s="14"/>
      <c r="H141" s="48" t="s">
        <v>96</v>
      </c>
      <c r="I141" s="48">
        <v>50</v>
      </c>
      <c r="J141" s="48">
        <v>201</v>
      </c>
      <c r="K141" s="48">
        <v>50</v>
      </c>
      <c r="L141" s="16" t="s">
        <v>366</v>
      </c>
      <c r="M141" s="11" t="s">
        <v>53</v>
      </c>
      <c r="N141" s="14" t="s">
        <v>560</v>
      </c>
      <c r="O141" s="47">
        <v>42542</v>
      </c>
      <c r="P141" s="15"/>
      <c r="Q141" s="16"/>
      <c r="R141" s="14" t="s">
        <v>55</v>
      </c>
      <c r="S141" s="29">
        <v>42381</v>
      </c>
      <c r="T141" s="12" t="s">
        <v>43</v>
      </c>
      <c r="U141" s="10" t="s">
        <v>56</v>
      </c>
      <c r="V141" s="24">
        <f t="shared" ref="V141" si="1046">+SUM(W141:AA141)</f>
        <v>2155530</v>
      </c>
      <c r="W141" s="24">
        <v>969988.5</v>
      </c>
      <c r="X141" s="50">
        <v>538882.5</v>
      </c>
      <c r="Y141" s="24">
        <v>581993.1</v>
      </c>
      <c r="Z141" s="24">
        <v>64665.9</v>
      </c>
      <c r="AA141" s="24">
        <v>0</v>
      </c>
      <c r="AB141" s="24">
        <f t="shared" ref="AB141" si="1047">+SUM(AC141:AG141)</f>
        <v>0</v>
      </c>
      <c r="AC141" s="24">
        <v>0</v>
      </c>
      <c r="AD141" s="50">
        <v>0</v>
      </c>
      <c r="AE141" s="24">
        <v>0</v>
      </c>
      <c r="AF141" s="24">
        <v>0</v>
      </c>
      <c r="AG141" s="24">
        <v>0</v>
      </c>
      <c r="AH141" s="22">
        <f t="shared" ref="AH141" si="1048">+SUM(AI141:AM141)</f>
        <v>2155530</v>
      </c>
      <c r="AI141" s="22">
        <f t="shared" ref="AI141" si="1049">+W141+AC141</f>
        <v>969988.5</v>
      </c>
      <c r="AJ141" s="37">
        <f t="shared" ref="AJ141" si="1050">+X141+AD141</f>
        <v>538882.5</v>
      </c>
      <c r="AK141" s="22">
        <f t="shared" ref="AK141" si="1051">+Y141+AE141</f>
        <v>581993.1</v>
      </c>
      <c r="AL141" s="22">
        <f t="shared" ref="AL141" si="1052">+Z141+AF141</f>
        <v>64665.9</v>
      </c>
      <c r="AM141" s="22">
        <f t="shared" ref="AM141" si="1053">+AA141+AG141</f>
        <v>0</v>
      </c>
      <c r="AN141" s="53">
        <f>538882.5</f>
        <v>538882.5</v>
      </c>
      <c r="AO141" s="13">
        <f t="shared" ref="AO141" si="1054">+IF(AJ141=0,"N/A",(AN141)/AJ141)</f>
        <v>1</v>
      </c>
      <c r="AP141" s="17">
        <f t="shared" ref="AP141" si="1055">+AJ141-AN141</f>
        <v>0</v>
      </c>
      <c r="AQ141" s="33"/>
      <c r="AR141" s="128"/>
      <c r="AS141" s="128"/>
      <c r="AT141" s="128"/>
    </row>
    <row r="142" spans="1:46" s="2" customFormat="1" ht="25.5">
      <c r="A142" s="45" t="s">
        <v>561</v>
      </c>
      <c r="B142" s="38" t="s">
        <v>364</v>
      </c>
      <c r="C142" s="38" t="s">
        <v>558</v>
      </c>
      <c r="D142" s="14" t="s">
        <v>558</v>
      </c>
      <c r="E142" s="36" t="s">
        <v>559</v>
      </c>
      <c r="F142" s="46" t="s">
        <v>214</v>
      </c>
      <c r="G142" s="14"/>
      <c r="H142" s="48" t="s">
        <v>96</v>
      </c>
      <c r="I142" s="48">
        <v>50</v>
      </c>
      <c r="J142" s="48">
        <v>201</v>
      </c>
      <c r="K142" s="48">
        <v>50</v>
      </c>
      <c r="L142" s="16" t="s">
        <v>366</v>
      </c>
      <c r="M142" s="11" t="s">
        <v>53</v>
      </c>
      <c r="N142" s="14" t="s">
        <v>560</v>
      </c>
      <c r="O142" s="47">
        <v>42542</v>
      </c>
      <c r="P142" s="15"/>
      <c r="Q142" s="16"/>
      <c r="R142" s="14" t="s">
        <v>55</v>
      </c>
      <c r="S142" s="29">
        <v>42381</v>
      </c>
      <c r="T142" s="12" t="s">
        <v>43</v>
      </c>
      <c r="U142" s="10" t="s">
        <v>56</v>
      </c>
      <c r="V142" s="24">
        <f t="shared" ref="V142" si="1056">+SUM(W142:AA142)</f>
        <v>2155530</v>
      </c>
      <c r="W142" s="24">
        <v>969988.5</v>
      </c>
      <c r="X142" s="50">
        <v>538882.5</v>
      </c>
      <c r="Y142" s="24">
        <v>581993.1</v>
      </c>
      <c r="Z142" s="24">
        <v>64665.9</v>
      </c>
      <c r="AA142" s="24">
        <v>0</v>
      </c>
      <c r="AB142" s="24">
        <f t="shared" ref="AB142" si="1057">+SUM(AC142:AG142)</f>
        <v>0</v>
      </c>
      <c r="AC142" s="24">
        <v>0</v>
      </c>
      <c r="AD142" s="50">
        <v>0</v>
      </c>
      <c r="AE142" s="24">
        <v>0</v>
      </c>
      <c r="AF142" s="24">
        <v>0</v>
      </c>
      <c r="AG142" s="24">
        <v>0</v>
      </c>
      <c r="AH142" s="22">
        <f t="shared" ref="AH142" si="1058">+SUM(AI142:AM142)</f>
        <v>2155530</v>
      </c>
      <c r="AI142" s="22">
        <f t="shared" ref="AI142" si="1059">+W142+AC142</f>
        <v>969988.5</v>
      </c>
      <c r="AJ142" s="37">
        <f t="shared" ref="AJ142" si="1060">+X142+AD142</f>
        <v>538882.5</v>
      </c>
      <c r="AK142" s="22">
        <f t="shared" ref="AK142" si="1061">+Y142+AE142</f>
        <v>581993.1</v>
      </c>
      <c r="AL142" s="22">
        <f t="shared" ref="AL142" si="1062">+Z142+AF142</f>
        <v>64665.9</v>
      </c>
      <c r="AM142" s="22">
        <f t="shared" ref="AM142" si="1063">+AA142+AG142</f>
        <v>0</v>
      </c>
      <c r="AN142" s="53">
        <f>538882.5</f>
        <v>538882.5</v>
      </c>
      <c r="AO142" s="13">
        <f t="shared" ref="AO142" si="1064">+IF(AJ142=0,"N/A",(AN142)/AJ142)</f>
        <v>1</v>
      </c>
      <c r="AP142" s="17">
        <f t="shared" ref="AP142" si="1065">+AJ142-AN142</f>
        <v>0</v>
      </c>
      <c r="AQ142" s="33"/>
      <c r="AR142" s="128"/>
      <c r="AS142" s="128"/>
      <c r="AT142" s="128"/>
    </row>
    <row r="143" spans="1:46" s="2" customFormat="1" ht="25.5">
      <c r="A143" s="45" t="s">
        <v>562</v>
      </c>
      <c r="B143" s="38" t="s">
        <v>563</v>
      </c>
      <c r="C143" s="38" t="s">
        <v>563</v>
      </c>
      <c r="D143" s="14" t="s">
        <v>563</v>
      </c>
      <c r="E143" s="36" t="s">
        <v>564</v>
      </c>
      <c r="F143" s="46" t="s">
        <v>214</v>
      </c>
      <c r="G143" s="14"/>
      <c r="H143" s="48" t="s">
        <v>96</v>
      </c>
      <c r="I143" s="48">
        <v>50</v>
      </c>
      <c r="J143" s="48">
        <v>215</v>
      </c>
      <c r="K143" s="48">
        <v>50</v>
      </c>
      <c r="L143" s="16" t="s">
        <v>366</v>
      </c>
      <c r="M143" s="11" t="s">
        <v>53</v>
      </c>
      <c r="N143" s="14" t="s">
        <v>565</v>
      </c>
      <c r="O143" s="47">
        <v>42542</v>
      </c>
      <c r="P143" s="15"/>
      <c r="Q143" s="16"/>
      <c r="R143" s="14" t="s">
        <v>55</v>
      </c>
      <c r="S143" s="29">
        <v>42381</v>
      </c>
      <c r="T143" s="12" t="s">
        <v>43</v>
      </c>
      <c r="U143" s="10" t="s">
        <v>56</v>
      </c>
      <c r="V143" s="24">
        <f t="shared" ref="V143" si="1066">+SUM(W143:AA143)</f>
        <v>2155530</v>
      </c>
      <c r="W143" s="24">
        <v>969988.5</v>
      </c>
      <c r="X143" s="50">
        <v>538882.5</v>
      </c>
      <c r="Y143" s="24">
        <v>581993.1</v>
      </c>
      <c r="Z143" s="24">
        <v>64665.9</v>
      </c>
      <c r="AA143" s="24">
        <v>0</v>
      </c>
      <c r="AB143" s="24">
        <f t="shared" ref="AB143" si="1067">+SUM(AC143:AG143)</f>
        <v>0</v>
      </c>
      <c r="AC143" s="24">
        <v>0</v>
      </c>
      <c r="AD143" s="50">
        <v>0</v>
      </c>
      <c r="AE143" s="24">
        <v>0</v>
      </c>
      <c r="AF143" s="24">
        <v>0</v>
      </c>
      <c r="AG143" s="24">
        <v>0</v>
      </c>
      <c r="AH143" s="22">
        <f t="shared" ref="AH143" si="1068">+SUM(AI143:AM143)</f>
        <v>2155530</v>
      </c>
      <c r="AI143" s="22">
        <f t="shared" ref="AI143" si="1069">+W143+AC143</f>
        <v>969988.5</v>
      </c>
      <c r="AJ143" s="37">
        <f t="shared" ref="AJ143" si="1070">+X143+AD143</f>
        <v>538882.5</v>
      </c>
      <c r="AK143" s="22">
        <f t="shared" ref="AK143" si="1071">+Y143+AE143</f>
        <v>581993.1</v>
      </c>
      <c r="AL143" s="22">
        <f t="shared" ref="AL143" si="1072">+Z143+AF143</f>
        <v>64665.9</v>
      </c>
      <c r="AM143" s="22">
        <f t="shared" ref="AM143" si="1073">+AA143+AG143</f>
        <v>0</v>
      </c>
      <c r="AN143" s="53">
        <f>538882.5</f>
        <v>538882.5</v>
      </c>
      <c r="AO143" s="13">
        <f t="shared" ref="AO143" si="1074">+IF(AJ143=0,"N/A",(AN143)/AJ143)</f>
        <v>1</v>
      </c>
      <c r="AP143" s="17">
        <f t="shared" ref="AP143" si="1075">+AJ143-AN143</f>
        <v>0</v>
      </c>
      <c r="AQ143" s="33"/>
      <c r="AR143" s="128"/>
      <c r="AS143" s="128"/>
      <c r="AT143" s="128"/>
    </row>
    <row r="144" spans="1:46" s="2" customFormat="1" ht="25.5">
      <c r="A144" s="45" t="s">
        <v>476</v>
      </c>
      <c r="B144" s="38" t="s">
        <v>473</v>
      </c>
      <c r="C144" s="38" t="s">
        <v>473</v>
      </c>
      <c r="D144" s="14" t="s">
        <v>473</v>
      </c>
      <c r="E144" s="36" t="s">
        <v>474</v>
      </c>
      <c r="F144" s="46" t="s">
        <v>214</v>
      </c>
      <c r="G144" s="14"/>
      <c r="H144" s="48" t="s">
        <v>96</v>
      </c>
      <c r="I144" s="48">
        <v>42</v>
      </c>
      <c r="J144" s="48">
        <v>176</v>
      </c>
      <c r="K144" s="48">
        <v>42</v>
      </c>
      <c r="L144" s="16" t="s">
        <v>366</v>
      </c>
      <c r="M144" s="11" t="s">
        <v>53</v>
      </c>
      <c r="N144" s="14" t="s">
        <v>475</v>
      </c>
      <c r="O144" s="47">
        <v>42542</v>
      </c>
      <c r="P144" s="15"/>
      <c r="Q144" s="16"/>
      <c r="R144" s="14" t="s">
        <v>55</v>
      </c>
      <c r="S144" s="29">
        <v>42381</v>
      </c>
      <c r="T144" s="12" t="s">
        <v>43</v>
      </c>
      <c r="U144" s="10" t="s">
        <v>56</v>
      </c>
      <c r="V144" s="24">
        <f t="shared" si="1026"/>
        <v>1810645.2</v>
      </c>
      <c r="W144" s="24">
        <v>814790.34</v>
      </c>
      <c r="X144" s="50">
        <v>452661.3</v>
      </c>
      <c r="Y144" s="24">
        <v>488874.2</v>
      </c>
      <c r="Z144" s="24">
        <v>54319.360000000001</v>
      </c>
      <c r="AA144" s="24">
        <v>0</v>
      </c>
      <c r="AB144" s="24">
        <f t="shared" si="1027"/>
        <v>0</v>
      </c>
      <c r="AC144" s="24">
        <v>0</v>
      </c>
      <c r="AD144" s="50">
        <v>0</v>
      </c>
      <c r="AE144" s="24">
        <v>0</v>
      </c>
      <c r="AF144" s="24">
        <v>0</v>
      </c>
      <c r="AG144" s="24">
        <v>0</v>
      </c>
      <c r="AH144" s="22">
        <f t="shared" si="1028"/>
        <v>1810645.2</v>
      </c>
      <c r="AI144" s="22">
        <f t="shared" si="1029"/>
        <v>814790.34</v>
      </c>
      <c r="AJ144" s="37">
        <f t="shared" si="1030"/>
        <v>452661.3</v>
      </c>
      <c r="AK144" s="22">
        <f t="shared" si="1031"/>
        <v>488874.2</v>
      </c>
      <c r="AL144" s="22">
        <f t="shared" si="1032"/>
        <v>54319.360000000001</v>
      </c>
      <c r="AM144" s="22">
        <f t="shared" si="1033"/>
        <v>0</v>
      </c>
      <c r="AN144" s="53">
        <f>452661.3</f>
        <v>452661.3</v>
      </c>
      <c r="AO144" s="13">
        <f t="shared" si="1034"/>
        <v>1</v>
      </c>
      <c r="AP144" s="17">
        <f t="shared" si="1035"/>
        <v>0</v>
      </c>
      <c r="AQ144" s="33"/>
      <c r="AR144" s="128"/>
      <c r="AS144" s="128"/>
      <c r="AT144" s="128"/>
    </row>
    <row r="145" spans="1:46" s="2" customFormat="1" ht="25.5">
      <c r="A145" s="45" t="s">
        <v>472</v>
      </c>
      <c r="B145" s="38" t="s">
        <v>473</v>
      </c>
      <c r="C145" s="38" t="s">
        <v>473</v>
      </c>
      <c r="D145" s="14" t="s">
        <v>473</v>
      </c>
      <c r="E145" s="36" t="s">
        <v>474</v>
      </c>
      <c r="F145" s="46" t="s">
        <v>214</v>
      </c>
      <c r="G145" s="14"/>
      <c r="H145" s="48" t="s">
        <v>96</v>
      </c>
      <c r="I145" s="48">
        <v>58</v>
      </c>
      <c r="J145" s="48">
        <v>243</v>
      </c>
      <c r="K145" s="48">
        <v>58</v>
      </c>
      <c r="L145" s="16" t="s">
        <v>366</v>
      </c>
      <c r="M145" s="11" t="s">
        <v>53</v>
      </c>
      <c r="N145" s="14" t="s">
        <v>475</v>
      </c>
      <c r="O145" s="47">
        <v>42542</v>
      </c>
      <c r="P145" s="15"/>
      <c r="Q145" s="16"/>
      <c r="R145" s="14" t="s">
        <v>55</v>
      </c>
      <c r="S145" s="29">
        <v>42381</v>
      </c>
      <c r="T145" s="12" t="s">
        <v>43</v>
      </c>
      <c r="U145" s="10" t="s">
        <v>56</v>
      </c>
      <c r="V145" s="24">
        <f t="shared" ref="V145" si="1076">+SUM(W145:AA145)</f>
        <v>2500414.7999999998</v>
      </c>
      <c r="W145" s="24">
        <v>1125186.6599999999</v>
      </c>
      <c r="X145" s="50">
        <v>625103.69999999995</v>
      </c>
      <c r="Y145" s="24">
        <v>675112</v>
      </c>
      <c r="Z145" s="24">
        <v>75012.44</v>
      </c>
      <c r="AA145" s="24">
        <v>0</v>
      </c>
      <c r="AB145" s="24">
        <f t="shared" ref="AB145" si="1077">+SUM(AC145:AG145)</f>
        <v>0</v>
      </c>
      <c r="AC145" s="24">
        <v>0</v>
      </c>
      <c r="AD145" s="50">
        <v>0</v>
      </c>
      <c r="AE145" s="24">
        <v>0</v>
      </c>
      <c r="AF145" s="24">
        <v>0</v>
      </c>
      <c r="AG145" s="24">
        <v>0</v>
      </c>
      <c r="AH145" s="22">
        <f t="shared" ref="AH145" si="1078">+SUM(AI145:AM145)</f>
        <v>2500414.7999999998</v>
      </c>
      <c r="AI145" s="22">
        <f t="shared" ref="AI145" si="1079">+W145+AC145</f>
        <v>1125186.6599999999</v>
      </c>
      <c r="AJ145" s="37">
        <f t="shared" ref="AJ145" si="1080">+X145+AD145</f>
        <v>625103.69999999995</v>
      </c>
      <c r="AK145" s="22">
        <f t="shared" ref="AK145" si="1081">+Y145+AE145</f>
        <v>675112</v>
      </c>
      <c r="AL145" s="22">
        <f t="shared" ref="AL145" si="1082">+Z145+AF145</f>
        <v>75012.44</v>
      </c>
      <c r="AM145" s="22">
        <f t="shared" ref="AM145" si="1083">+AA145+AG145</f>
        <v>0</v>
      </c>
      <c r="AN145" s="53">
        <f>625103.7</f>
        <v>625103.69999999995</v>
      </c>
      <c r="AO145" s="13">
        <f t="shared" ref="AO145" si="1084">+IF(AJ145=0,"N/A",(AN145)/AJ145)</f>
        <v>1</v>
      </c>
      <c r="AP145" s="17">
        <f t="shared" ref="AP145" si="1085">+AJ145-AN145</f>
        <v>0</v>
      </c>
      <c r="AQ145" s="33"/>
      <c r="AR145" s="128"/>
      <c r="AS145" s="128"/>
      <c r="AT145" s="128"/>
    </row>
    <row r="146" spans="1:46" s="2" customFormat="1" ht="25.5">
      <c r="A146" s="45" t="s">
        <v>566</v>
      </c>
      <c r="B146" s="38" t="s">
        <v>371</v>
      </c>
      <c r="C146" s="38" t="s">
        <v>371</v>
      </c>
      <c r="D146" s="14" t="s">
        <v>371</v>
      </c>
      <c r="E146" s="36" t="s">
        <v>372</v>
      </c>
      <c r="F146" s="46" t="s">
        <v>214</v>
      </c>
      <c r="G146" s="14"/>
      <c r="H146" s="48" t="s">
        <v>96</v>
      </c>
      <c r="I146" s="48">
        <v>50</v>
      </c>
      <c r="J146" s="48">
        <v>203</v>
      </c>
      <c r="K146" s="48">
        <v>50</v>
      </c>
      <c r="L146" s="16" t="s">
        <v>366</v>
      </c>
      <c r="M146" s="11" t="s">
        <v>53</v>
      </c>
      <c r="N146" s="14" t="s">
        <v>373</v>
      </c>
      <c r="O146" s="47">
        <v>42542</v>
      </c>
      <c r="P146" s="15"/>
      <c r="Q146" s="16"/>
      <c r="R146" s="14" t="s">
        <v>55</v>
      </c>
      <c r="S146" s="29">
        <v>42381</v>
      </c>
      <c r="T146" s="12" t="s">
        <v>43</v>
      </c>
      <c r="U146" s="10" t="s">
        <v>56</v>
      </c>
      <c r="V146" s="24">
        <f t="shared" ref="V146" si="1086">+SUM(W146:AA146)</f>
        <v>2155530</v>
      </c>
      <c r="W146" s="24">
        <v>969988.5</v>
      </c>
      <c r="X146" s="50">
        <v>538882.5</v>
      </c>
      <c r="Y146" s="24">
        <v>581993.1</v>
      </c>
      <c r="Z146" s="24">
        <v>64665.9</v>
      </c>
      <c r="AA146" s="24">
        <v>0</v>
      </c>
      <c r="AB146" s="24">
        <f t="shared" ref="AB146" si="1087">+SUM(AC146:AG146)</f>
        <v>0</v>
      </c>
      <c r="AC146" s="24">
        <v>0</v>
      </c>
      <c r="AD146" s="50">
        <v>0</v>
      </c>
      <c r="AE146" s="24">
        <v>0</v>
      </c>
      <c r="AF146" s="24">
        <v>0</v>
      </c>
      <c r="AG146" s="24">
        <v>0</v>
      </c>
      <c r="AH146" s="22">
        <f t="shared" ref="AH146" si="1088">+SUM(AI146:AM146)</f>
        <v>2155530</v>
      </c>
      <c r="AI146" s="22">
        <f t="shared" ref="AI146" si="1089">+W146+AC146</f>
        <v>969988.5</v>
      </c>
      <c r="AJ146" s="37">
        <f t="shared" ref="AJ146" si="1090">+X146+AD146</f>
        <v>538882.5</v>
      </c>
      <c r="AK146" s="22">
        <f t="shared" ref="AK146" si="1091">+Y146+AE146</f>
        <v>581993.1</v>
      </c>
      <c r="AL146" s="22">
        <f t="shared" ref="AL146" si="1092">+Z146+AF146</f>
        <v>64665.9</v>
      </c>
      <c r="AM146" s="22">
        <f t="shared" ref="AM146" si="1093">+AA146+AG146</f>
        <v>0</v>
      </c>
      <c r="AN146" s="53">
        <f>538882.5</f>
        <v>538882.5</v>
      </c>
      <c r="AO146" s="13">
        <f t="shared" ref="AO146" si="1094">+IF(AJ146=0,"N/A",(AN146)/AJ146)</f>
        <v>1</v>
      </c>
      <c r="AP146" s="17">
        <f t="shared" ref="AP146" si="1095">+AJ146-AN146</f>
        <v>0</v>
      </c>
      <c r="AQ146" s="33"/>
      <c r="AR146" s="128"/>
      <c r="AS146" s="128"/>
      <c r="AT146" s="128"/>
    </row>
    <row r="147" spans="1:46" s="2" customFormat="1" ht="25.5">
      <c r="A147" s="45" t="s">
        <v>567</v>
      </c>
      <c r="B147" s="38" t="s">
        <v>371</v>
      </c>
      <c r="C147" s="38" t="s">
        <v>371</v>
      </c>
      <c r="D147" s="14" t="s">
        <v>371</v>
      </c>
      <c r="E147" s="36" t="s">
        <v>372</v>
      </c>
      <c r="F147" s="46" t="s">
        <v>214</v>
      </c>
      <c r="G147" s="14"/>
      <c r="H147" s="48" t="s">
        <v>96</v>
      </c>
      <c r="I147" s="48">
        <v>50</v>
      </c>
      <c r="J147" s="48">
        <v>203</v>
      </c>
      <c r="K147" s="48">
        <v>50</v>
      </c>
      <c r="L147" s="16" t="s">
        <v>366</v>
      </c>
      <c r="M147" s="11" t="s">
        <v>53</v>
      </c>
      <c r="N147" s="14" t="s">
        <v>373</v>
      </c>
      <c r="O147" s="47">
        <v>42542</v>
      </c>
      <c r="P147" s="15"/>
      <c r="Q147" s="16"/>
      <c r="R147" s="14" t="s">
        <v>55</v>
      </c>
      <c r="S147" s="29">
        <v>42381</v>
      </c>
      <c r="T147" s="12" t="s">
        <v>43</v>
      </c>
      <c r="U147" s="10" t="s">
        <v>56</v>
      </c>
      <c r="V147" s="24">
        <f t="shared" ref="V147" si="1096">+SUM(W147:AA147)</f>
        <v>2155530</v>
      </c>
      <c r="W147" s="24">
        <v>969988.5</v>
      </c>
      <c r="X147" s="50">
        <v>538882.5</v>
      </c>
      <c r="Y147" s="24">
        <v>581993.1</v>
      </c>
      <c r="Z147" s="24">
        <v>64665.9</v>
      </c>
      <c r="AA147" s="24">
        <v>0</v>
      </c>
      <c r="AB147" s="24">
        <f t="shared" ref="AB147" si="1097">+SUM(AC147:AG147)</f>
        <v>0</v>
      </c>
      <c r="AC147" s="24">
        <v>0</v>
      </c>
      <c r="AD147" s="50">
        <v>0</v>
      </c>
      <c r="AE147" s="24">
        <v>0</v>
      </c>
      <c r="AF147" s="24">
        <v>0</v>
      </c>
      <c r="AG147" s="24">
        <v>0</v>
      </c>
      <c r="AH147" s="22">
        <f t="shared" ref="AH147" si="1098">+SUM(AI147:AM147)</f>
        <v>2155530</v>
      </c>
      <c r="AI147" s="22">
        <f t="shared" ref="AI147" si="1099">+W147+AC147</f>
        <v>969988.5</v>
      </c>
      <c r="AJ147" s="37">
        <f t="shared" ref="AJ147" si="1100">+X147+AD147</f>
        <v>538882.5</v>
      </c>
      <c r="AK147" s="22">
        <f t="shared" ref="AK147" si="1101">+Y147+AE147</f>
        <v>581993.1</v>
      </c>
      <c r="AL147" s="22">
        <f t="shared" ref="AL147" si="1102">+Z147+AF147</f>
        <v>64665.9</v>
      </c>
      <c r="AM147" s="22">
        <f t="shared" ref="AM147" si="1103">+AA147+AG147</f>
        <v>0</v>
      </c>
      <c r="AN147" s="53">
        <f>538882.5</f>
        <v>538882.5</v>
      </c>
      <c r="AO147" s="13">
        <f t="shared" ref="AO147" si="1104">+IF(AJ147=0,"N/A",(AN147)/AJ147)</f>
        <v>1</v>
      </c>
      <c r="AP147" s="17">
        <f t="shared" ref="AP147" si="1105">+AJ147-AN147</f>
        <v>0</v>
      </c>
      <c r="AQ147" s="33"/>
      <c r="AR147" s="128"/>
      <c r="AS147" s="128"/>
      <c r="AT147" s="128"/>
    </row>
    <row r="148" spans="1:46" s="2" customFormat="1" ht="25.5">
      <c r="A148" s="45" t="s">
        <v>568</v>
      </c>
      <c r="B148" s="38" t="s">
        <v>371</v>
      </c>
      <c r="C148" s="38" t="s">
        <v>371</v>
      </c>
      <c r="D148" s="14" t="s">
        <v>371</v>
      </c>
      <c r="E148" s="36" t="s">
        <v>372</v>
      </c>
      <c r="F148" s="46" t="s">
        <v>214</v>
      </c>
      <c r="G148" s="14"/>
      <c r="H148" s="48" t="s">
        <v>96</v>
      </c>
      <c r="I148" s="48">
        <v>50</v>
      </c>
      <c r="J148" s="48">
        <v>203</v>
      </c>
      <c r="K148" s="48">
        <v>50</v>
      </c>
      <c r="L148" s="16" t="s">
        <v>366</v>
      </c>
      <c r="M148" s="11" t="s">
        <v>53</v>
      </c>
      <c r="N148" s="14" t="s">
        <v>373</v>
      </c>
      <c r="O148" s="47">
        <v>42542</v>
      </c>
      <c r="P148" s="15"/>
      <c r="Q148" s="16"/>
      <c r="R148" s="14" t="s">
        <v>55</v>
      </c>
      <c r="S148" s="29">
        <v>42381</v>
      </c>
      <c r="T148" s="12" t="s">
        <v>43</v>
      </c>
      <c r="U148" s="10" t="s">
        <v>56</v>
      </c>
      <c r="V148" s="24">
        <f t="shared" ref="V148" si="1106">+SUM(W148:AA148)</f>
        <v>2155530</v>
      </c>
      <c r="W148" s="24">
        <v>969988.5</v>
      </c>
      <c r="X148" s="50">
        <v>538882.5</v>
      </c>
      <c r="Y148" s="24">
        <v>581993.1</v>
      </c>
      <c r="Z148" s="24">
        <v>64665.9</v>
      </c>
      <c r="AA148" s="24">
        <v>0</v>
      </c>
      <c r="AB148" s="24">
        <f t="shared" ref="AB148" si="1107">+SUM(AC148:AG148)</f>
        <v>0</v>
      </c>
      <c r="AC148" s="24">
        <v>0</v>
      </c>
      <c r="AD148" s="50">
        <v>0</v>
      </c>
      <c r="AE148" s="24">
        <v>0</v>
      </c>
      <c r="AF148" s="24">
        <v>0</v>
      </c>
      <c r="AG148" s="24">
        <v>0</v>
      </c>
      <c r="AH148" s="22">
        <f t="shared" ref="AH148" si="1108">+SUM(AI148:AM148)</f>
        <v>2155530</v>
      </c>
      <c r="AI148" s="22">
        <f t="shared" ref="AI148" si="1109">+W148+AC148</f>
        <v>969988.5</v>
      </c>
      <c r="AJ148" s="37">
        <f t="shared" ref="AJ148" si="1110">+X148+AD148</f>
        <v>538882.5</v>
      </c>
      <c r="AK148" s="22">
        <f t="shared" ref="AK148" si="1111">+Y148+AE148</f>
        <v>581993.1</v>
      </c>
      <c r="AL148" s="22">
        <f t="shared" ref="AL148" si="1112">+Z148+AF148</f>
        <v>64665.9</v>
      </c>
      <c r="AM148" s="22">
        <f t="shared" ref="AM148" si="1113">+AA148+AG148</f>
        <v>0</v>
      </c>
      <c r="AN148" s="53">
        <f>538882.5</f>
        <v>538882.5</v>
      </c>
      <c r="AO148" s="13">
        <f t="shared" ref="AO148" si="1114">+IF(AJ148=0,"N/A",(AN148)/AJ148)</f>
        <v>1</v>
      </c>
      <c r="AP148" s="17">
        <f t="shared" ref="AP148" si="1115">+AJ148-AN148</f>
        <v>0</v>
      </c>
      <c r="AQ148" s="33"/>
      <c r="AR148" s="128"/>
      <c r="AS148" s="128"/>
      <c r="AT148" s="128"/>
    </row>
    <row r="149" spans="1:46" s="2" customFormat="1" ht="25.5">
      <c r="A149" s="45" t="s">
        <v>569</v>
      </c>
      <c r="B149" s="38" t="s">
        <v>364</v>
      </c>
      <c r="C149" s="38" t="s">
        <v>570</v>
      </c>
      <c r="D149" s="14" t="s">
        <v>570</v>
      </c>
      <c r="E149" s="36" t="s">
        <v>571</v>
      </c>
      <c r="F149" s="46" t="s">
        <v>214</v>
      </c>
      <c r="G149" s="14"/>
      <c r="H149" s="48" t="s">
        <v>96</v>
      </c>
      <c r="I149" s="48">
        <v>50</v>
      </c>
      <c r="J149" s="48">
        <v>219</v>
      </c>
      <c r="K149" s="48">
        <v>50</v>
      </c>
      <c r="L149" s="16" t="s">
        <v>366</v>
      </c>
      <c r="M149" s="11" t="s">
        <v>53</v>
      </c>
      <c r="N149" s="14" t="s">
        <v>572</v>
      </c>
      <c r="O149" s="47">
        <v>42542</v>
      </c>
      <c r="P149" s="15"/>
      <c r="Q149" s="16"/>
      <c r="R149" s="14" t="s">
        <v>55</v>
      </c>
      <c r="S149" s="29">
        <v>42381</v>
      </c>
      <c r="T149" s="12" t="s">
        <v>43</v>
      </c>
      <c r="U149" s="10" t="s">
        <v>56</v>
      </c>
      <c r="V149" s="24">
        <f t="shared" ref="V149" si="1116">+SUM(W149:AA149)</f>
        <v>2155530</v>
      </c>
      <c r="W149" s="24">
        <v>969988.5</v>
      </c>
      <c r="X149" s="50">
        <v>538882.5</v>
      </c>
      <c r="Y149" s="24">
        <v>581993.1</v>
      </c>
      <c r="Z149" s="24">
        <v>64665.9</v>
      </c>
      <c r="AA149" s="24">
        <v>0</v>
      </c>
      <c r="AB149" s="24">
        <f t="shared" ref="AB149" si="1117">+SUM(AC149:AG149)</f>
        <v>0</v>
      </c>
      <c r="AC149" s="24">
        <v>0</v>
      </c>
      <c r="AD149" s="50">
        <v>0</v>
      </c>
      <c r="AE149" s="24">
        <v>0</v>
      </c>
      <c r="AF149" s="24">
        <v>0</v>
      </c>
      <c r="AG149" s="24">
        <v>0</v>
      </c>
      <c r="AH149" s="22">
        <f t="shared" ref="AH149" si="1118">+SUM(AI149:AM149)</f>
        <v>2155530</v>
      </c>
      <c r="AI149" s="22">
        <f t="shared" ref="AI149" si="1119">+W149+AC149</f>
        <v>969988.5</v>
      </c>
      <c r="AJ149" s="37">
        <f t="shared" ref="AJ149" si="1120">+X149+AD149</f>
        <v>538882.5</v>
      </c>
      <c r="AK149" s="22">
        <f t="shared" ref="AK149" si="1121">+Y149+AE149</f>
        <v>581993.1</v>
      </c>
      <c r="AL149" s="22">
        <f t="shared" ref="AL149" si="1122">+Z149+AF149</f>
        <v>64665.9</v>
      </c>
      <c r="AM149" s="22">
        <f t="shared" ref="AM149" si="1123">+AA149+AG149</f>
        <v>0</v>
      </c>
      <c r="AN149" s="53">
        <f>538882.5</f>
        <v>538882.5</v>
      </c>
      <c r="AO149" s="13">
        <f t="shared" ref="AO149" si="1124">+IF(AJ149=0,"N/A",(AN149)/AJ149)</f>
        <v>1</v>
      </c>
      <c r="AP149" s="17">
        <f t="shared" ref="AP149" si="1125">+AJ149-AN149</f>
        <v>0</v>
      </c>
      <c r="AQ149" s="33"/>
      <c r="AR149" s="128"/>
      <c r="AS149" s="128"/>
      <c r="AT149" s="128"/>
    </row>
    <row r="150" spans="1:46" s="2" customFormat="1" ht="25.5">
      <c r="A150" s="45" t="s">
        <v>477</v>
      </c>
      <c r="B150" s="38" t="s">
        <v>182</v>
      </c>
      <c r="C150" s="38" t="s">
        <v>182</v>
      </c>
      <c r="D150" s="14" t="s">
        <v>182</v>
      </c>
      <c r="E150" s="36" t="s">
        <v>478</v>
      </c>
      <c r="F150" s="46" t="s">
        <v>214</v>
      </c>
      <c r="G150" s="14"/>
      <c r="H150" s="48" t="s">
        <v>96</v>
      </c>
      <c r="I150" s="48">
        <v>50</v>
      </c>
      <c r="J150" s="48">
        <v>219</v>
      </c>
      <c r="K150" s="48">
        <v>50</v>
      </c>
      <c r="L150" s="16" t="s">
        <v>366</v>
      </c>
      <c r="M150" s="11" t="s">
        <v>53</v>
      </c>
      <c r="N150" s="14" t="s">
        <v>479</v>
      </c>
      <c r="O150" s="47">
        <v>42542</v>
      </c>
      <c r="P150" s="15"/>
      <c r="Q150" s="16"/>
      <c r="R150" s="14" t="s">
        <v>55</v>
      </c>
      <c r="S150" s="29">
        <v>42381</v>
      </c>
      <c r="T150" s="12" t="s">
        <v>43</v>
      </c>
      <c r="U150" s="10" t="s">
        <v>56</v>
      </c>
      <c r="V150" s="24">
        <f t="shared" ref="V150:V158" si="1126">+SUM(W150:AA150)</f>
        <v>2155530</v>
      </c>
      <c r="W150" s="24">
        <v>969988.5</v>
      </c>
      <c r="X150" s="50">
        <v>538882.5</v>
      </c>
      <c r="Y150" s="24">
        <v>581993.1</v>
      </c>
      <c r="Z150" s="24">
        <v>64665.9</v>
      </c>
      <c r="AA150" s="24">
        <v>0</v>
      </c>
      <c r="AB150" s="24">
        <f t="shared" ref="AB150:AB158" si="1127">+SUM(AC150:AG150)</f>
        <v>0</v>
      </c>
      <c r="AC150" s="24">
        <v>0</v>
      </c>
      <c r="AD150" s="50">
        <v>0</v>
      </c>
      <c r="AE150" s="24">
        <v>0</v>
      </c>
      <c r="AF150" s="24">
        <v>0</v>
      </c>
      <c r="AG150" s="24">
        <v>0</v>
      </c>
      <c r="AH150" s="22">
        <f t="shared" ref="AH150:AH158" si="1128">+SUM(AI150:AM150)</f>
        <v>2155530</v>
      </c>
      <c r="AI150" s="22">
        <f t="shared" ref="AI150:AI158" si="1129">+W150+AC150</f>
        <v>969988.5</v>
      </c>
      <c r="AJ150" s="37">
        <f t="shared" ref="AJ150:AJ158" si="1130">+X150+AD150</f>
        <v>538882.5</v>
      </c>
      <c r="AK150" s="22">
        <f t="shared" ref="AK150:AK158" si="1131">+Y150+AE150</f>
        <v>581993.1</v>
      </c>
      <c r="AL150" s="22">
        <f t="shared" ref="AL150:AL158" si="1132">+Z150+AF150</f>
        <v>64665.9</v>
      </c>
      <c r="AM150" s="22">
        <f t="shared" ref="AM150:AM158" si="1133">+AA150+AG150</f>
        <v>0</v>
      </c>
      <c r="AN150" s="53">
        <f>538882.5</f>
        <v>538882.5</v>
      </c>
      <c r="AO150" s="13">
        <f t="shared" ref="AO150:AO158" si="1134">+IF(AJ150=0,"N/A",(AN150)/AJ150)</f>
        <v>1</v>
      </c>
      <c r="AP150" s="17">
        <f t="shared" ref="AP150:AP158" si="1135">+AJ150-AN150</f>
        <v>0</v>
      </c>
      <c r="AQ150" s="33"/>
      <c r="AR150" s="128"/>
      <c r="AS150" s="128"/>
      <c r="AT150" s="128"/>
    </row>
    <row r="151" spans="1:46" s="2" customFormat="1" ht="25.5">
      <c r="A151" s="45" t="s">
        <v>573</v>
      </c>
      <c r="B151" s="38" t="s">
        <v>44</v>
      </c>
      <c r="C151" s="38" t="s">
        <v>44</v>
      </c>
      <c r="D151" s="14" t="s">
        <v>577</v>
      </c>
      <c r="E151" s="36" t="s">
        <v>574</v>
      </c>
      <c r="F151" s="46" t="s">
        <v>214</v>
      </c>
      <c r="G151" s="14"/>
      <c r="H151" s="48" t="s">
        <v>96</v>
      </c>
      <c r="I151" s="48">
        <v>16</v>
      </c>
      <c r="J151" s="48">
        <v>124</v>
      </c>
      <c r="K151" s="48">
        <v>16</v>
      </c>
      <c r="L151" s="16" t="s">
        <v>366</v>
      </c>
      <c r="M151" s="11" t="s">
        <v>53</v>
      </c>
      <c r="N151" s="14" t="s">
        <v>575</v>
      </c>
      <c r="O151" s="47">
        <v>42542</v>
      </c>
      <c r="P151" s="15"/>
      <c r="Q151" s="16"/>
      <c r="R151" s="14" t="s">
        <v>55</v>
      </c>
      <c r="S151" s="29">
        <v>42381</v>
      </c>
      <c r="T151" s="12" t="s">
        <v>43</v>
      </c>
      <c r="U151" s="10" t="s">
        <v>56</v>
      </c>
      <c r="V151" s="24">
        <f t="shared" ref="V151" si="1136">+SUM(W151:AA151)</f>
        <v>689769.6</v>
      </c>
      <c r="W151" s="24">
        <v>310396.32</v>
      </c>
      <c r="X151" s="50">
        <v>172442.4</v>
      </c>
      <c r="Y151" s="24">
        <v>186237.79</v>
      </c>
      <c r="Z151" s="24">
        <v>20693.09</v>
      </c>
      <c r="AA151" s="24">
        <v>0</v>
      </c>
      <c r="AB151" s="24">
        <f t="shared" ref="AB151" si="1137">+SUM(AC151:AG151)</f>
        <v>0</v>
      </c>
      <c r="AC151" s="24">
        <v>0</v>
      </c>
      <c r="AD151" s="50">
        <v>0</v>
      </c>
      <c r="AE151" s="24">
        <v>0</v>
      </c>
      <c r="AF151" s="24">
        <v>0</v>
      </c>
      <c r="AG151" s="24">
        <v>0</v>
      </c>
      <c r="AH151" s="22">
        <f t="shared" ref="AH151" si="1138">+SUM(AI151:AM151)</f>
        <v>689769.6</v>
      </c>
      <c r="AI151" s="22">
        <f t="shared" ref="AI151" si="1139">+W151+AC151</f>
        <v>310396.32</v>
      </c>
      <c r="AJ151" s="37">
        <f t="shared" ref="AJ151" si="1140">+X151+AD151</f>
        <v>172442.4</v>
      </c>
      <c r="AK151" s="22">
        <f t="shared" ref="AK151" si="1141">+Y151+AE151</f>
        <v>186237.79</v>
      </c>
      <c r="AL151" s="22">
        <f t="shared" ref="AL151" si="1142">+Z151+AF151</f>
        <v>20693.09</v>
      </c>
      <c r="AM151" s="22">
        <f t="shared" ref="AM151" si="1143">+AA151+AG151</f>
        <v>0</v>
      </c>
      <c r="AN151" s="53">
        <f>172442.4</f>
        <v>172442.4</v>
      </c>
      <c r="AO151" s="13">
        <f t="shared" ref="AO151" si="1144">+IF(AJ151=0,"N/A",(AN151)/AJ151)</f>
        <v>1</v>
      </c>
      <c r="AP151" s="17">
        <f t="shared" ref="AP151" si="1145">+AJ151-AN151</f>
        <v>0</v>
      </c>
      <c r="AQ151" s="33"/>
      <c r="AR151" s="128"/>
      <c r="AS151" s="128"/>
      <c r="AT151" s="128"/>
    </row>
    <row r="152" spans="1:46" s="2" customFormat="1" ht="25.5">
      <c r="A152" s="45" t="s">
        <v>576</v>
      </c>
      <c r="B152" s="38" t="s">
        <v>44</v>
      </c>
      <c r="C152" s="38" t="s">
        <v>44</v>
      </c>
      <c r="D152" s="14" t="s">
        <v>578</v>
      </c>
      <c r="E152" s="36" t="s">
        <v>579</v>
      </c>
      <c r="F152" s="46" t="s">
        <v>214</v>
      </c>
      <c r="G152" s="14"/>
      <c r="H152" s="48" t="s">
        <v>96</v>
      </c>
      <c r="I152" s="48">
        <v>8</v>
      </c>
      <c r="J152" s="48">
        <v>35</v>
      </c>
      <c r="K152" s="48">
        <v>8</v>
      </c>
      <c r="L152" s="16" t="s">
        <v>366</v>
      </c>
      <c r="M152" s="11" t="s">
        <v>53</v>
      </c>
      <c r="N152" s="14" t="s">
        <v>575</v>
      </c>
      <c r="O152" s="47">
        <v>42542</v>
      </c>
      <c r="P152" s="15"/>
      <c r="Q152" s="16"/>
      <c r="R152" s="14" t="s">
        <v>55</v>
      </c>
      <c r="S152" s="29">
        <v>42381</v>
      </c>
      <c r="T152" s="12" t="s">
        <v>43</v>
      </c>
      <c r="U152" s="10" t="s">
        <v>56</v>
      </c>
      <c r="V152" s="24">
        <f t="shared" ref="V152" si="1146">+SUM(W152:AA152)</f>
        <v>344884.8</v>
      </c>
      <c r="W152" s="24">
        <v>155198.16</v>
      </c>
      <c r="X152" s="50">
        <v>86221.2</v>
      </c>
      <c r="Y152" s="24">
        <v>93118.9</v>
      </c>
      <c r="Z152" s="24">
        <v>10346.540000000001</v>
      </c>
      <c r="AA152" s="24">
        <v>0</v>
      </c>
      <c r="AB152" s="24">
        <f t="shared" ref="AB152" si="1147">+SUM(AC152:AG152)</f>
        <v>0</v>
      </c>
      <c r="AC152" s="24">
        <v>0</v>
      </c>
      <c r="AD152" s="50">
        <v>0</v>
      </c>
      <c r="AE152" s="24">
        <v>0</v>
      </c>
      <c r="AF152" s="24">
        <v>0</v>
      </c>
      <c r="AG152" s="24">
        <v>0</v>
      </c>
      <c r="AH152" s="22">
        <f t="shared" ref="AH152" si="1148">+SUM(AI152:AM152)</f>
        <v>344884.8</v>
      </c>
      <c r="AI152" s="22">
        <f t="shared" ref="AI152" si="1149">+W152+AC152</f>
        <v>155198.16</v>
      </c>
      <c r="AJ152" s="37">
        <f t="shared" ref="AJ152" si="1150">+X152+AD152</f>
        <v>86221.2</v>
      </c>
      <c r="AK152" s="22">
        <f t="shared" ref="AK152" si="1151">+Y152+AE152</f>
        <v>93118.9</v>
      </c>
      <c r="AL152" s="22">
        <f t="shared" ref="AL152" si="1152">+Z152+AF152</f>
        <v>10346.540000000001</v>
      </c>
      <c r="AM152" s="22">
        <f t="shared" ref="AM152" si="1153">+AA152+AG152</f>
        <v>0</v>
      </c>
      <c r="AN152" s="53">
        <f>86221.2</f>
        <v>86221.2</v>
      </c>
      <c r="AO152" s="13">
        <f t="shared" ref="AO152" si="1154">+IF(AJ152=0,"N/A",(AN152)/AJ152)</f>
        <v>1</v>
      </c>
      <c r="AP152" s="17">
        <f t="shared" ref="AP152" si="1155">+AJ152-AN152</f>
        <v>0</v>
      </c>
      <c r="AQ152" s="33"/>
      <c r="AR152" s="128"/>
      <c r="AS152" s="128"/>
      <c r="AT152" s="128"/>
    </row>
    <row r="153" spans="1:46" s="2" customFormat="1" ht="25.5">
      <c r="A153" s="45" t="s">
        <v>580</v>
      </c>
      <c r="B153" s="38" t="s">
        <v>44</v>
      </c>
      <c r="C153" s="38" t="s">
        <v>44</v>
      </c>
      <c r="D153" s="14" t="s">
        <v>581</v>
      </c>
      <c r="E153" s="36" t="s">
        <v>582</v>
      </c>
      <c r="F153" s="46" t="s">
        <v>214</v>
      </c>
      <c r="G153" s="14"/>
      <c r="H153" s="48" t="s">
        <v>96</v>
      </c>
      <c r="I153" s="48">
        <v>12</v>
      </c>
      <c r="J153" s="48">
        <v>58</v>
      </c>
      <c r="K153" s="48">
        <v>12</v>
      </c>
      <c r="L153" s="16" t="s">
        <v>366</v>
      </c>
      <c r="M153" s="11" t="s">
        <v>53</v>
      </c>
      <c r="N153" s="14" t="s">
        <v>575</v>
      </c>
      <c r="O153" s="47">
        <v>42542</v>
      </c>
      <c r="P153" s="15"/>
      <c r="Q153" s="16"/>
      <c r="R153" s="14" t="s">
        <v>55</v>
      </c>
      <c r="S153" s="29">
        <v>42381</v>
      </c>
      <c r="T153" s="12" t="s">
        <v>43</v>
      </c>
      <c r="U153" s="10" t="s">
        <v>56</v>
      </c>
      <c r="V153" s="24">
        <f t="shared" ref="V153" si="1156">+SUM(W153:AA153)</f>
        <v>517327.2</v>
      </c>
      <c r="W153" s="24">
        <v>232797.24</v>
      </c>
      <c r="X153" s="50">
        <v>129331.8</v>
      </c>
      <c r="Y153" s="24">
        <v>139678.34</v>
      </c>
      <c r="Z153" s="24">
        <v>15519.82</v>
      </c>
      <c r="AA153" s="24">
        <v>0</v>
      </c>
      <c r="AB153" s="24">
        <f t="shared" ref="AB153" si="1157">+SUM(AC153:AG153)</f>
        <v>0</v>
      </c>
      <c r="AC153" s="24">
        <v>0</v>
      </c>
      <c r="AD153" s="50">
        <v>0</v>
      </c>
      <c r="AE153" s="24">
        <v>0</v>
      </c>
      <c r="AF153" s="24">
        <v>0</v>
      </c>
      <c r="AG153" s="24">
        <v>0</v>
      </c>
      <c r="AH153" s="22">
        <f t="shared" ref="AH153" si="1158">+SUM(AI153:AM153)</f>
        <v>517327.2</v>
      </c>
      <c r="AI153" s="22">
        <f t="shared" ref="AI153" si="1159">+W153+AC153</f>
        <v>232797.24</v>
      </c>
      <c r="AJ153" s="37">
        <f t="shared" ref="AJ153" si="1160">+X153+AD153</f>
        <v>129331.8</v>
      </c>
      <c r="AK153" s="22">
        <f t="shared" ref="AK153" si="1161">+Y153+AE153</f>
        <v>139678.34</v>
      </c>
      <c r="AL153" s="22">
        <f t="shared" ref="AL153" si="1162">+Z153+AF153</f>
        <v>15519.82</v>
      </c>
      <c r="AM153" s="22">
        <f t="shared" ref="AM153" si="1163">+AA153+AG153</f>
        <v>0</v>
      </c>
      <c r="AN153" s="53">
        <f>129331.8</f>
        <v>129331.8</v>
      </c>
      <c r="AO153" s="13">
        <f t="shared" ref="AO153" si="1164">+IF(AJ153=0,"N/A",(AN153)/AJ153)</f>
        <v>1</v>
      </c>
      <c r="AP153" s="17">
        <f t="shared" ref="AP153" si="1165">+AJ153-AN153</f>
        <v>0</v>
      </c>
      <c r="AQ153" s="33"/>
      <c r="AR153" s="128"/>
      <c r="AS153" s="128"/>
      <c r="AT153" s="128"/>
    </row>
    <row r="154" spans="1:46" s="2" customFormat="1" ht="25.5">
      <c r="A154" s="45" t="s">
        <v>583</v>
      </c>
      <c r="B154" s="38" t="s">
        <v>44</v>
      </c>
      <c r="C154" s="38" t="s">
        <v>44</v>
      </c>
      <c r="D154" s="14" t="s">
        <v>584</v>
      </c>
      <c r="E154" s="36" t="s">
        <v>585</v>
      </c>
      <c r="F154" s="46" t="s">
        <v>214</v>
      </c>
      <c r="G154" s="14"/>
      <c r="H154" s="48" t="s">
        <v>96</v>
      </c>
      <c r="I154" s="48">
        <v>15</v>
      </c>
      <c r="J154" s="48">
        <v>85</v>
      </c>
      <c r="K154" s="48">
        <v>15</v>
      </c>
      <c r="L154" s="16" t="s">
        <v>366</v>
      </c>
      <c r="M154" s="11" t="s">
        <v>53</v>
      </c>
      <c r="N154" s="14" t="s">
        <v>575</v>
      </c>
      <c r="O154" s="47">
        <v>42542</v>
      </c>
      <c r="P154" s="15"/>
      <c r="Q154" s="16"/>
      <c r="R154" s="14" t="s">
        <v>55</v>
      </c>
      <c r="S154" s="29">
        <v>42381</v>
      </c>
      <c r="T154" s="12" t="s">
        <v>43</v>
      </c>
      <c r="U154" s="10" t="s">
        <v>56</v>
      </c>
      <c r="V154" s="24">
        <f t="shared" ref="V154" si="1166">+SUM(W154:AA154)</f>
        <v>646659</v>
      </c>
      <c r="W154" s="24">
        <v>290996.55</v>
      </c>
      <c r="X154" s="50">
        <v>161664.75</v>
      </c>
      <c r="Y154" s="24">
        <v>174597.93</v>
      </c>
      <c r="Z154" s="24">
        <v>19399.77</v>
      </c>
      <c r="AA154" s="24">
        <v>0</v>
      </c>
      <c r="AB154" s="24">
        <f t="shared" ref="AB154" si="1167">+SUM(AC154:AG154)</f>
        <v>0</v>
      </c>
      <c r="AC154" s="24">
        <v>0</v>
      </c>
      <c r="AD154" s="50">
        <v>0</v>
      </c>
      <c r="AE154" s="24">
        <v>0</v>
      </c>
      <c r="AF154" s="24">
        <v>0</v>
      </c>
      <c r="AG154" s="24">
        <v>0</v>
      </c>
      <c r="AH154" s="22">
        <f t="shared" ref="AH154" si="1168">+SUM(AI154:AM154)</f>
        <v>646659</v>
      </c>
      <c r="AI154" s="22">
        <f t="shared" ref="AI154" si="1169">+W154+AC154</f>
        <v>290996.55</v>
      </c>
      <c r="AJ154" s="37">
        <f t="shared" ref="AJ154" si="1170">+X154+AD154</f>
        <v>161664.75</v>
      </c>
      <c r="AK154" s="22">
        <f t="shared" ref="AK154" si="1171">+Y154+AE154</f>
        <v>174597.93</v>
      </c>
      <c r="AL154" s="22">
        <f t="shared" ref="AL154" si="1172">+Z154+AF154</f>
        <v>19399.77</v>
      </c>
      <c r="AM154" s="22">
        <f t="shared" ref="AM154" si="1173">+AA154+AG154</f>
        <v>0</v>
      </c>
      <c r="AN154" s="53">
        <f>161664.75</f>
        <v>161664.75</v>
      </c>
      <c r="AO154" s="13">
        <f t="shared" ref="AO154" si="1174">+IF(AJ154=0,"N/A",(AN154)/AJ154)</f>
        <v>1</v>
      </c>
      <c r="AP154" s="17">
        <f t="shared" ref="AP154" si="1175">+AJ154-AN154</f>
        <v>0</v>
      </c>
      <c r="AQ154" s="33"/>
      <c r="AR154" s="128"/>
      <c r="AS154" s="128"/>
      <c r="AT154" s="128"/>
    </row>
    <row r="155" spans="1:46" s="2" customFormat="1" ht="25.5">
      <c r="A155" s="45" t="s">
        <v>586</v>
      </c>
      <c r="B155" s="38" t="s">
        <v>44</v>
      </c>
      <c r="C155" s="38" t="s">
        <v>44</v>
      </c>
      <c r="D155" s="14" t="s">
        <v>587</v>
      </c>
      <c r="E155" s="36" t="s">
        <v>588</v>
      </c>
      <c r="F155" s="46" t="s">
        <v>214</v>
      </c>
      <c r="G155" s="14"/>
      <c r="H155" s="48" t="s">
        <v>96</v>
      </c>
      <c r="I155" s="48">
        <v>32</v>
      </c>
      <c r="J155" s="48">
        <v>201</v>
      </c>
      <c r="K155" s="48">
        <v>32</v>
      </c>
      <c r="L155" s="16" t="s">
        <v>366</v>
      </c>
      <c r="M155" s="11" t="s">
        <v>53</v>
      </c>
      <c r="N155" s="14" t="s">
        <v>575</v>
      </c>
      <c r="O155" s="47">
        <v>42542</v>
      </c>
      <c r="P155" s="15"/>
      <c r="Q155" s="16"/>
      <c r="R155" s="14" t="s">
        <v>55</v>
      </c>
      <c r="S155" s="29">
        <v>42381</v>
      </c>
      <c r="T155" s="12" t="s">
        <v>43</v>
      </c>
      <c r="U155" s="10" t="s">
        <v>56</v>
      </c>
      <c r="V155" s="24">
        <f t="shared" ref="V155" si="1176">+SUM(W155:AA155)</f>
        <v>1379539.2</v>
      </c>
      <c r="W155" s="24">
        <v>620792.64</v>
      </c>
      <c r="X155" s="50">
        <v>344884.8</v>
      </c>
      <c r="Y155" s="24">
        <v>372475.58</v>
      </c>
      <c r="Z155" s="24">
        <v>41386.18</v>
      </c>
      <c r="AA155" s="24">
        <v>0</v>
      </c>
      <c r="AB155" s="24">
        <f t="shared" ref="AB155" si="1177">+SUM(AC155:AG155)</f>
        <v>0</v>
      </c>
      <c r="AC155" s="24">
        <v>0</v>
      </c>
      <c r="AD155" s="50">
        <v>0</v>
      </c>
      <c r="AE155" s="24">
        <v>0</v>
      </c>
      <c r="AF155" s="24">
        <v>0</v>
      </c>
      <c r="AG155" s="24">
        <v>0</v>
      </c>
      <c r="AH155" s="22">
        <f t="shared" ref="AH155" si="1178">+SUM(AI155:AM155)</f>
        <v>1379539.2</v>
      </c>
      <c r="AI155" s="22">
        <f t="shared" ref="AI155" si="1179">+W155+AC155</f>
        <v>620792.64</v>
      </c>
      <c r="AJ155" s="37">
        <f t="shared" ref="AJ155" si="1180">+X155+AD155</f>
        <v>344884.8</v>
      </c>
      <c r="AK155" s="22">
        <f t="shared" ref="AK155" si="1181">+Y155+AE155</f>
        <v>372475.58</v>
      </c>
      <c r="AL155" s="22">
        <f t="shared" ref="AL155" si="1182">+Z155+AF155</f>
        <v>41386.18</v>
      </c>
      <c r="AM155" s="22">
        <f t="shared" ref="AM155" si="1183">+AA155+AG155</f>
        <v>0</v>
      </c>
      <c r="AN155" s="53">
        <f>344884.8</f>
        <v>344884.8</v>
      </c>
      <c r="AO155" s="13">
        <f t="shared" ref="AO155" si="1184">+IF(AJ155=0,"N/A",(AN155)/AJ155)</f>
        <v>1</v>
      </c>
      <c r="AP155" s="17">
        <f t="shared" ref="AP155" si="1185">+AJ155-AN155</f>
        <v>0</v>
      </c>
      <c r="AQ155" s="33"/>
      <c r="AR155" s="128"/>
      <c r="AS155" s="128"/>
      <c r="AT155" s="128"/>
    </row>
    <row r="156" spans="1:46" s="2" customFormat="1" ht="25.5">
      <c r="A156" s="45" t="s">
        <v>589</v>
      </c>
      <c r="B156" s="38" t="s">
        <v>44</v>
      </c>
      <c r="C156" s="38" t="s">
        <v>44</v>
      </c>
      <c r="D156" s="14" t="s">
        <v>590</v>
      </c>
      <c r="E156" s="36" t="s">
        <v>591</v>
      </c>
      <c r="F156" s="46" t="s">
        <v>214</v>
      </c>
      <c r="G156" s="14"/>
      <c r="H156" s="48" t="s">
        <v>96</v>
      </c>
      <c r="I156" s="48">
        <v>5</v>
      </c>
      <c r="J156" s="48">
        <v>21</v>
      </c>
      <c r="K156" s="48">
        <v>5</v>
      </c>
      <c r="L156" s="16" t="s">
        <v>366</v>
      </c>
      <c r="M156" s="11" t="s">
        <v>53</v>
      </c>
      <c r="N156" s="14" t="s">
        <v>575</v>
      </c>
      <c r="O156" s="47">
        <v>42542</v>
      </c>
      <c r="P156" s="15"/>
      <c r="Q156" s="16"/>
      <c r="R156" s="14" t="s">
        <v>55</v>
      </c>
      <c r="S156" s="29">
        <v>42381</v>
      </c>
      <c r="T156" s="12" t="s">
        <v>43</v>
      </c>
      <c r="U156" s="10" t="s">
        <v>56</v>
      </c>
      <c r="V156" s="24">
        <f t="shared" ref="V156" si="1186">+SUM(W156:AA156)</f>
        <v>215553</v>
      </c>
      <c r="W156" s="24">
        <v>96998.85</v>
      </c>
      <c r="X156" s="50">
        <v>53888.25</v>
      </c>
      <c r="Y156" s="24">
        <v>58199.31</v>
      </c>
      <c r="Z156" s="24">
        <v>6466.59</v>
      </c>
      <c r="AA156" s="24">
        <v>0</v>
      </c>
      <c r="AB156" s="24">
        <f t="shared" ref="AB156" si="1187">+SUM(AC156:AG156)</f>
        <v>0</v>
      </c>
      <c r="AC156" s="24">
        <v>0</v>
      </c>
      <c r="AD156" s="50">
        <v>0</v>
      </c>
      <c r="AE156" s="24">
        <v>0</v>
      </c>
      <c r="AF156" s="24">
        <v>0</v>
      </c>
      <c r="AG156" s="24">
        <v>0</v>
      </c>
      <c r="AH156" s="22">
        <f t="shared" ref="AH156" si="1188">+SUM(AI156:AM156)</f>
        <v>215553</v>
      </c>
      <c r="AI156" s="22">
        <f t="shared" ref="AI156" si="1189">+W156+AC156</f>
        <v>96998.85</v>
      </c>
      <c r="AJ156" s="37">
        <f t="shared" ref="AJ156" si="1190">+X156+AD156</f>
        <v>53888.25</v>
      </c>
      <c r="AK156" s="22">
        <f t="shared" ref="AK156" si="1191">+Y156+AE156</f>
        <v>58199.31</v>
      </c>
      <c r="AL156" s="22">
        <f t="shared" ref="AL156" si="1192">+Z156+AF156</f>
        <v>6466.59</v>
      </c>
      <c r="AM156" s="22">
        <f t="shared" ref="AM156" si="1193">+AA156+AG156</f>
        <v>0</v>
      </c>
      <c r="AN156" s="53">
        <f>53888.25</f>
        <v>53888.25</v>
      </c>
      <c r="AO156" s="13">
        <f t="shared" ref="AO156" si="1194">+IF(AJ156=0,"N/A",(AN156)/AJ156)</f>
        <v>1</v>
      </c>
      <c r="AP156" s="17">
        <f t="shared" ref="AP156" si="1195">+AJ156-AN156</f>
        <v>0</v>
      </c>
      <c r="AQ156" s="33"/>
      <c r="AR156" s="128"/>
      <c r="AS156" s="128"/>
      <c r="AT156" s="128"/>
    </row>
    <row r="157" spans="1:46" s="2" customFormat="1" ht="25.5">
      <c r="A157" s="45" t="s">
        <v>592</v>
      </c>
      <c r="B157" s="38" t="s">
        <v>44</v>
      </c>
      <c r="C157" s="38" t="s">
        <v>44</v>
      </c>
      <c r="D157" s="14" t="s">
        <v>593</v>
      </c>
      <c r="E157" s="36" t="s">
        <v>594</v>
      </c>
      <c r="F157" s="46" t="s">
        <v>214</v>
      </c>
      <c r="G157" s="14"/>
      <c r="H157" s="48" t="s">
        <v>96</v>
      </c>
      <c r="I157" s="48">
        <v>13</v>
      </c>
      <c r="J157" s="48">
        <v>68</v>
      </c>
      <c r="K157" s="48">
        <v>13</v>
      </c>
      <c r="L157" s="16" t="s">
        <v>366</v>
      </c>
      <c r="M157" s="11" t="s">
        <v>53</v>
      </c>
      <c r="N157" s="14" t="s">
        <v>575</v>
      </c>
      <c r="O157" s="47">
        <v>42542</v>
      </c>
      <c r="P157" s="15"/>
      <c r="Q157" s="16"/>
      <c r="R157" s="14" t="s">
        <v>55</v>
      </c>
      <c r="S157" s="29">
        <v>42381</v>
      </c>
      <c r="T157" s="12" t="s">
        <v>43</v>
      </c>
      <c r="U157" s="10" t="s">
        <v>56</v>
      </c>
      <c r="V157" s="24">
        <f t="shared" ref="V157" si="1196">+SUM(W157:AA157)</f>
        <v>560437.80000000005</v>
      </c>
      <c r="W157" s="24">
        <v>252197.01</v>
      </c>
      <c r="X157" s="50">
        <v>140109.45000000001</v>
      </c>
      <c r="Y157" s="24">
        <v>151318.21</v>
      </c>
      <c r="Z157" s="24">
        <v>16813.13</v>
      </c>
      <c r="AA157" s="24">
        <v>0</v>
      </c>
      <c r="AB157" s="24">
        <f t="shared" ref="AB157" si="1197">+SUM(AC157:AG157)</f>
        <v>0</v>
      </c>
      <c r="AC157" s="24">
        <v>0</v>
      </c>
      <c r="AD157" s="50">
        <v>0</v>
      </c>
      <c r="AE157" s="24">
        <v>0</v>
      </c>
      <c r="AF157" s="24">
        <v>0</v>
      </c>
      <c r="AG157" s="24">
        <v>0</v>
      </c>
      <c r="AH157" s="22">
        <f t="shared" ref="AH157" si="1198">+SUM(AI157:AM157)</f>
        <v>560437.80000000005</v>
      </c>
      <c r="AI157" s="22">
        <f t="shared" ref="AI157" si="1199">+W157+AC157</f>
        <v>252197.01</v>
      </c>
      <c r="AJ157" s="37">
        <f t="shared" ref="AJ157" si="1200">+X157+AD157</f>
        <v>140109.45000000001</v>
      </c>
      <c r="AK157" s="22">
        <f t="shared" ref="AK157" si="1201">+Y157+AE157</f>
        <v>151318.21</v>
      </c>
      <c r="AL157" s="22">
        <f t="shared" ref="AL157" si="1202">+Z157+AF157</f>
        <v>16813.13</v>
      </c>
      <c r="AM157" s="22">
        <f t="shared" ref="AM157" si="1203">+AA157+AG157</f>
        <v>0</v>
      </c>
      <c r="AN157" s="53">
        <f>140109.45</f>
        <v>140109.45000000001</v>
      </c>
      <c r="AO157" s="13">
        <f t="shared" ref="AO157" si="1204">+IF(AJ157=0,"N/A",(AN157)/AJ157)</f>
        <v>1</v>
      </c>
      <c r="AP157" s="17">
        <f t="shared" ref="AP157" si="1205">+AJ157-AN157</f>
        <v>0</v>
      </c>
      <c r="AQ157" s="33"/>
      <c r="AR157" s="128"/>
      <c r="AS157" s="128"/>
      <c r="AT157" s="128"/>
    </row>
    <row r="158" spans="1:46" s="2" customFormat="1" ht="25.5">
      <c r="A158" s="45" t="s">
        <v>493</v>
      </c>
      <c r="B158" s="38" t="s">
        <v>110</v>
      </c>
      <c r="C158" s="38" t="s">
        <v>110</v>
      </c>
      <c r="D158" s="14" t="s">
        <v>494</v>
      </c>
      <c r="E158" s="36" t="s">
        <v>495</v>
      </c>
      <c r="F158" s="46" t="s">
        <v>214</v>
      </c>
      <c r="G158" s="14"/>
      <c r="H158" s="48" t="s">
        <v>96</v>
      </c>
      <c r="I158" s="48">
        <v>16</v>
      </c>
      <c r="J158" s="48">
        <v>69</v>
      </c>
      <c r="K158" s="48">
        <v>16</v>
      </c>
      <c r="L158" s="16" t="s">
        <v>366</v>
      </c>
      <c r="M158" s="11" t="s">
        <v>53</v>
      </c>
      <c r="N158" s="14" t="s">
        <v>483</v>
      </c>
      <c r="O158" s="47">
        <v>42542</v>
      </c>
      <c r="P158" s="15"/>
      <c r="Q158" s="16"/>
      <c r="R158" s="14" t="s">
        <v>55</v>
      </c>
      <c r="S158" s="29">
        <v>42381</v>
      </c>
      <c r="T158" s="12" t="s">
        <v>43</v>
      </c>
      <c r="U158" s="10" t="s">
        <v>56</v>
      </c>
      <c r="V158" s="24">
        <f t="shared" si="1126"/>
        <v>689769.6</v>
      </c>
      <c r="W158" s="24">
        <v>310396.32</v>
      </c>
      <c r="X158" s="50">
        <v>172442.4</v>
      </c>
      <c r="Y158" s="24">
        <v>188530.88</v>
      </c>
      <c r="Z158" s="24">
        <v>18400</v>
      </c>
      <c r="AA158" s="24">
        <v>0</v>
      </c>
      <c r="AB158" s="24">
        <f t="shared" si="1127"/>
        <v>0</v>
      </c>
      <c r="AC158" s="24">
        <v>0</v>
      </c>
      <c r="AD158" s="50">
        <v>0</v>
      </c>
      <c r="AE158" s="24">
        <v>0</v>
      </c>
      <c r="AF158" s="24">
        <v>0</v>
      </c>
      <c r="AG158" s="24">
        <v>0</v>
      </c>
      <c r="AH158" s="22">
        <f t="shared" si="1128"/>
        <v>689769.6</v>
      </c>
      <c r="AI158" s="22">
        <f t="shared" si="1129"/>
        <v>310396.32</v>
      </c>
      <c r="AJ158" s="37">
        <f t="shared" si="1130"/>
        <v>172442.4</v>
      </c>
      <c r="AK158" s="22">
        <f t="shared" si="1131"/>
        <v>188530.88</v>
      </c>
      <c r="AL158" s="22">
        <f t="shared" si="1132"/>
        <v>18400</v>
      </c>
      <c r="AM158" s="22">
        <f t="shared" si="1133"/>
        <v>0</v>
      </c>
      <c r="AN158" s="53">
        <f>172442.4</f>
        <v>172442.4</v>
      </c>
      <c r="AO158" s="13">
        <f t="shared" si="1134"/>
        <v>1</v>
      </c>
      <c r="AP158" s="17">
        <f t="shared" si="1135"/>
        <v>0</v>
      </c>
      <c r="AQ158" s="33"/>
      <c r="AR158" s="128"/>
      <c r="AS158" s="128"/>
      <c r="AT158" s="128"/>
    </row>
    <row r="159" spans="1:46" s="2" customFormat="1" ht="25.5">
      <c r="A159" s="45" t="s">
        <v>496</v>
      </c>
      <c r="B159" s="38" t="s">
        <v>110</v>
      </c>
      <c r="C159" s="38" t="s">
        <v>110</v>
      </c>
      <c r="D159" s="14" t="s">
        <v>497</v>
      </c>
      <c r="E159" s="36" t="s">
        <v>498</v>
      </c>
      <c r="F159" s="46" t="s">
        <v>214</v>
      </c>
      <c r="G159" s="14"/>
      <c r="H159" s="48" t="s">
        <v>96</v>
      </c>
      <c r="I159" s="48">
        <v>19</v>
      </c>
      <c r="J159" s="48">
        <v>85</v>
      </c>
      <c r="K159" s="48">
        <v>19</v>
      </c>
      <c r="L159" s="16" t="s">
        <v>366</v>
      </c>
      <c r="M159" s="11" t="s">
        <v>53</v>
      </c>
      <c r="N159" s="14" t="s">
        <v>483</v>
      </c>
      <c r="O159" s="47">
        <v>42542</v>
      </c>
      <c r="P159" s="15"/>
      <c r="Q159" s="16"/>
      <c r="R159" s="14" t="s">
        <v>55</v>
      </c>
      <c r="S159" s="29">
        <v>42381</v>
      </c>
      <c r="T159" s="12" t="s">
        <v>43</v>
      </c>
      <c r="U159" s="10" t="s">
        <v>56</v>
      </c>
      <c r="V159" s="24">
        <f t="shared" ref="V159" si="1206">+SUM(W159:AA159)</f>
        <v>819101.4</v>
      </c>
      <c r="W159" s="24">
        <v>368595.63</v>
      </c>
      <c r="X159" s="50">
        <v>204775.35</v>
      </c>
      <c r="Y159" s="24">
        <v>223880.42</v>
      </c>
      <c r="Z159" s="24">
        <v>21850</v>
      </c>
      <c r="AA159" s="24">
        <v>0</v>
      </c>
      <c r="AB159" s="24">
        <f t="shared" ref="AB159" si="1207">+SUM(AC159:AG159)</f>
        <v>0</v>
      </c>
      <c r="AC159" s="24">
        <v>0</v>
      </c>
      <c r="AD159" s="50">
        <v>0</v>
      </c>
      <c r="AE159" s="24">
        <v>0</v>
      </c>
      <c r="AF159" s="24">
        <v>0</v>
      </c>
      <c r="AG159" s="24">
        <v>0</v>
      </c>
      <c r="AH159" s="22">
        <f t="shared" ref="AH159" si="1208">+SUM(AI159:AM159)</f>
        <v>819101.4</v>
      </c>
      <c r="AI159" s="22">
        <f t="shared" ref="AI159" si="1209">+W159+AC159</f>
        <v>368595.63</v>
      </c>
      <c r="AJ159" s="37">
        <f t="shared" ref="AJ159" si="1210">+X159+AD159</f>
        <v>204775.35</v>
      </c>
      <c r="AK159" s="22">
        <f t="shared" ref="AK159" si="1211">+Y159+AE159</f>
        <v>223880.42</v>
      </c>
      <c r="AL159" s="22">
        <f t="shared" ref="AL159" si="1212">+Z159+AF159</f>
        <v>21850</v>
      </c>
      <c r="AM159" s="22">
        <f t="shared" ref="AM159" si="1213">+AA159+AG159</f>
        <v>0</v>
      </c>
      <c r="AN159" s="53">
        <f>204775.35</f>
        <v>204775.35</v>
      </c>
      <c r="AO159" s="13">
        <f t="shared" ref="AO159" si="1214">+IF(AJ159=0,"N/A",(AN159)/AJ159)</f>
        <v>1</v>
      </c>
      <c r="AP159" s="17">
        <f t="shared" ref="AP159" si="1215">+AJ159-AN159</f>
        <v>0</v>
      </c>
      <c r="AQ159" s="33"/>
      <c r="AR159" s="128"/>
      <c r="AS159" s="128"/>
      <c r="AT159" s="128"/>
    </row>
    <row r="160" spans="1:46" s="2" customFormat="1" ht="25.5">
      <c r="A160" s="45" t="s">
        <v>499</v>
      </c>
      <c r="B160" s="38" t="s">
        <v>110</v>
      </c>
      <c r="C160" s="38" t="s">
        <v>110</v>
      </c>
      <c r="D160" s="14" t="s">
        <v>500</v>
      </c>
      <c r="E160" s="36" t="s">
        <v>501</v>
      </c>
      <c r="F160" s="46" t="s">
        <v>214</v>
      </c>
      <c r="G160" s="14"/>
      <c r="H160" s="48" t="s">
        <v>96</v>
      </c>
      <c r="I160" s="48">
        <v>16</v>
      </c>
      <c r="J160" s="48">
        <v>66</v>
      </c>
      <c r="K160" s="48">
        <v>16</v>
      </c>
      <c r="L160" s="16" t="s">
        <v>366</v>
      </c>
      <c r="M160" s="11" t="s">
        <v>53</v>
      </c>
      <c r="N160" s="14" t="s">
        <v>483</v>
      </c>
      <c r="O160" s="47">
        <v>42542</v>
      </c>
      <c r="P160" s="15"/>
      <c r="Q160" s="16"/>
      <c r="R160" s="14" t="s">
        <v>55</v>
      </c>
      <c r="S160" s="29">
        <v>42381</v>
      </c>
      <c r="T160" s="12" t="s">
        <v>43</v>
      </c>
      <c r="U160" s="10" t="s">
        <v>56</v>
      </c>
      <c r="V160" s="24">
        <f t="shared" ref="V160" si="1216">+SUM(W160:AA160)</f>
        <v>689769.6</v>
      </c>
      <c r="W160" s="24">
        <v>310396.32</v>
      </c>
      <c r="X160" s="50">
        <v>172442.4</v>
      </c>
      <c r="Y160" s="24">
        <v>188530.88</v>
      </c>
      <c r="Z160" s="24">
        <v>18400</v>
      </c>
      <c r="AA160" s="24">
        <v>0</v>
      </c>
      <c r="AB160" s="24">
        <f t="shared" ref="AB160" si="1217">+SUM(AC160:AG160)</f>
        <v>0</v>
      </c>
      <c r="AC160" s="24">
        <v>0</v>
      </c>
      <c r="AD160" s="50">
        <v>0</v>
      </c>
      <c r="AE160" s="24">
        <v>0</v>
      </c>
      <c r="AF160" s="24">
        <v>0</v>
      </c>
      <c r="AG160" s="24">
        <v>0</v>
      </c>
      <c r="AH160" s="22">
        <f t="shared" ref="AH160" si="1218">+SUM(AI160:AM160)</f>
        <v>689769.6</v>
      </c>
      <c r="AI160" s="22">
        <f t="shared" ref="AI160" si="1219">+W160+AC160</f>
        <v>310396.32</v>
      </c>
      <c r="AJ160" s="37">
        <f t="shared" ref="AJ160" si="1220">+X160+AD160</f>
        <v>172442.4</v>
      </c>
      <c r="AK160" s="22">
        <f t="shared" ref="AK160" si="1221">+Y160+AE160</f>
        <v>188530.88</v>
      </c>
      <c r="AL160" s="22">
        <f t="shared" ref="AL160" si="1222">+Z160+AF160</f>
        <v>18400</v>
      </c>
      <c r="AM160" s="22">
        <f t="shared" ref="AM160" si="1223">+AA160+AG160</f>
        <v>0</v>
      </c>
      <c r="AN160" s="53">
        <f>172442.4</f>
        <v>172442.4</v>
      </c>
      <c r="AO160" s="13">
        <f t="shared" ref="AO160" si="1224">+IF(AJ160=0,"N/A",(AN160)/AJ160)</f>
        <v>1</v>
      </c>
      <c r="AP160" s="17">
        <f t="shared" ref="AP160" si="1225">+AJ160-AN160</f>
        <v>0</v>
      </c>
      <c r="AQ160" s="33"/>
      <c r="AR160" s="128"/>
      <c r="AS160" s="128"/>
      <c r="AT160" s="128"/>
    </row>
    <row r="161" spans="1:46" s="2" customFormat="1" ht="38.25">
      <c r="A161" s="45" t="s">
        <v>502</v>
      </c>
      <c r="B161" s="38" t="s">
        <v>110</v>
      </c>
      <c r="C161" s="38" t="s">
        <v>110</v>
      </c>
      <c r="D161" s="14" t="s">
        <v>503</v>
      </c>
      <c r="E161" s="36" t="s">
        <v>504</v>
      </c>
      <c r="F161" s="46" t="s">
        <v>214</v>
      </c>
      <c r="G161" s="14"/>
      <c r="H161" s="48" t="s">
        <v>96</v>
      </c>
      <c r="I161" s="48">
        <v>4</v>
      </c>
      <c r="J161" s="48">
        <v>10</v>
      </c>
      <c r="K161" s="48">
        <v>4</v>
      </c>
      <c r="L161" s="16" t="s">
        <v>366</v>
      </c>
      <c r="M161" s="11" t="s">
        <v>53</v>
      </c>
      <c r="N161" s="14" t="s">
        <v>483</v>
      </c>
      <c r="O161" s="47">
        <v>42542</v>
      </c>
      <c r="P161" s="15"/>
      <c r="Q161" s="16"/>
      <c r="R161" s="14" t="s">
        <v>55</v>
      </c>
      <c r="S161" s="29">
        <v>42381</v>
      </c>
      <c r="T161" s="12" t="s">
        <v>43</v>
      </c>
      <c r="U161" s="10" t="s">
        <v>56</v>
      </c>
      <c r="V161" s="24">
        <f t="shared" ref="V161" si="1226">+SUM(W161:AA161)</f>
        <v>172442.4</v>
      </c>
      <c r="W161" s="24">
        <v>77599.08</v>
      </c>
      <c r="X161" s="50">
        <v>43110.6</v>
      </c>
      <c r="Y161" s="24">
        <v>47132.72</v>
      </c>
      <c r="Z161" s="24">
        <v>4600</v>
      </c>
      <c r="AA161" s="24">
        <v>0</v>
      </c>
      <c r="AB161" s="24">
        <f t="shared" ref="AB161" si="1227">+SUM(AC161:AG161)</f>
        <v>0</v>
      </c>
      <c r="AC161" s="24">
        <v>0</v>
      </c>
      <c r="AD161" s="50">
        <v>0</v>
      </c>
      <c r="AE161" s="24">
        <v>0</v>
      </c>
      <c r="AF161" s="24">
        <v>0</v>
      </c>
      <c r="AG161" s="24">
        <v>0</v>
      </c>
      <c r="AH161" s="22">
        <f t="shared" ref="AH161" si="1228">+SUM(AI161:AM161)</f>
        <v>172442.4</v>
      </c>
      <c r="AI161" s="22">
        <f t="shared" ref="AI161" si="1229">+W161+AC161</f>
        <v>77599.08</v>
      </c>
      <c r="AJ161" s="37">
        <f t="shared" ref="AJ161" si="1230">+X161+AD161</f>
        <v>43110.6</v>
      </c>
      <c r="AK161" s="22">
        <f t="shared" ref="AK161" si="1231">+Y161+AE161</f>
        <v>47132.72</v>
      </c>
      <c r="AL161" s="22">
        <f t="shared" ref="AL161" si="1232">+Z161+AF161</f>
        <v>4600</v>
      </c>
      <c r="AM161" s="22">
        <f t="shared" ref="AM161" si="1233">+AA161+AG161</f>
        <v>0</v>
      </c>
      <c r="AN161" s="53">
        <f>43110.6</f>
        <v>43110.6</v>
      </c>
      <c r="AO161" s="13">
        <f t="shared" ref="AO161" si="1234">+IF(AJ161=0,"N/A",(AN161)/AJ161)</f>
        <v>1</v>
      </c>
      <c r="AP161" s="17">
        <f t="shared" ref="AP161" si="1235">+AJ161-AN161</f>
        <v>0</v>
      </c>
      <c r="AQ161" s="33"/>
      <c r="AR161" s="128"/>
      <c r="AS161" s="128"/>
      <c r="AT161" s="128"/>
    </row>
    <row r="162" spans="1:46" s="2" customFormat="1" ht="25.5">
      <c r="A162" s="45" t="s">
        <v>505</v>
      </c>
      <c r="B162" s="38" t="s">
        <v>110</v>
      </c>
      <c r="C162" s="38" t="s">
        <v>110</v>
      </c>
      <c r="D162" s="14" t="s">
        <v>506</v>
      </c>
      <c r="E162" s="36" t="s">
        <v>507</v>
      </c>
      <c r="F162" s="46" t="s">
        <v>214</v>
      </c>
      <c r="G162" s="14"/>
      <c r="H162" s="48" t="s">
        <v>96</v>
      </c>
      <c r="I162" s="48">
        <v>1</v>
      </c>
      <c r="J162" s="48">
        <v>4</v>
      </c>
      <c r="K162" s="48">
        <v>1</v>
      </c>
      <c r="L162" s="16" t="s">
        <v>366</v>
      </c>
      <c r="M162" s="11" t="s">
        <v>53</v>
      </c>
      <c r="N162" s="14" t="s">
        <v>483</v>
      </c>
      <c r="O162" s="47">
        <v>42542</v>
      </c>
      <c r="P162" s="15"/>
      <c r="Q162" s="16"/>
      <c r="R162" s="14" t="s">
        <v>55</v>
      </c>
      <c r="S162" s="29">
        <v>42381</v>
      </c>
      <c r="T162" s="12" t="s">
        <v>43</v>
      </c>
      <c r="U162" s="10" t="s">
        <v>56</v>
      </c>
      <c r="V162" s="24">
        <f t="shared" ref="V162" si="1236">+SUM(W162:AA162)</f>
        <v>43110.6</v>
      </c>
      <c r="W162" s="24">
        <v>19399.77</v>
      </c>
      <c r="X162" s="50">
        <v>10777.65</v>
      </c>
      <c r="Y162" s="24">
        <v>11783.18</v>
      </c>
      <c r="Z162" s="24">
        <v>1150</v>
      </c>
      <c r="AA162" s="24">
        <v>0</v>
      </c>
      <c r="AB162" s="24">
        <f t="shared" ref="AB162" si="1237">+SUM(AC162:AG162)</f>
        <v>0</v>
      </c>
      <c r="AC162" s="24">
        <v>0</v>
      </c>
      <c r="AD162" s="50">
        <v>0</v>
      </c>
      <c r="AE162" s="24">
        <v>0</v>
      </c>
      <c r="AF162" s="24">
        <v>0</v>
      </c>
      <c r="AG162" s="24">
        <v>0</v>
      </c>
      <c r="AH162" s="22">
        <f t="shared" ref="AH162" si="1238">+SUM(AI162:AM162)</f>
        <v>43110.6</v>
      </c>
      <c r="AI162" s="22">
        <f t="shared" ref="AI162" si="1239">+W162+AC162</f>
        <v>19399.77</v>
      </c>
      <c r="AJ162" s="37">
        <f t="shared" ref="AJ162" si="1240">+X162+AD162</f>
        <v>10777.65</v>
      </c>
      <c r="AK162" s="22">
        <f t="shared" ref="AK162" si="1241">+Y162+AE162</f>
        <v>11783.18</v>
      </c>
      <c r="AL162" s="22">
        <f t="shared" ref="AL162" si="1242">+Z162+AF162</f>
        <v>1150</v>
      </c>
      <c r="AM162" s="22">
        <f t="shared" ref="AM162" si="1243">+AA162+AG162</f>
        <v>0</v>
      </c>
      <c r="AN162" s="53">
        <f>10777.65</f>
        <v>10777.65</v>
      </c>
      <c r="AO162" s="13">
        <f t="shared" ref="AO162" si="1244">+IF(AJ162=0,"N/A",(AN162)/AJ162)</f>
        <v>1</v>
      </c>
      <c r="AP162" s="17">
        <f t="shared" ref="AP162" si="1245">+AJ162-AN162</f>
        <v>0</v>
      </c>
      <c r="AQ162" s="33"/>
      <c r="AR162" s="128"/>
      <c r="AS162" s="128"/>
      <c r="AT162" s="128"/>
    </row>
    <row r="163" spans="1:46" s="2" customFormat="1" ht="25.5">
      <c r="A163" s="45" t="s">
        <v>508</v>
      </c>
      <c r="B163" s="38" t="s">
        <v>110</v>
      </c>
      <c r="C163" s="38" t="s">
        <v>110</v>
      </c>
      <c r="D163" s="14" t="s">
        <v>509</v>
      </c>
      <c r="E163" s="36" t="s">
        <v>510</v>
      </c>
      <c r="F163" s="46" t="s">
        <v>214</v>
      </c>
      <c r="G163" s="14"/>
      <c r="H163" s="48" t="s">
        <v>96</v>
      </c>
      <c r="I163" s="48">
        <v>30</v>
      </c>
      <c r="J163" s="48">
        <v>140</v>
      </c>
      <c r="K163" s="48">
        <v>30</v>
      </c>
      <c r="L163" s="16" t="s">
        <v>366</v>
      </c>
      <c r="M163" s="11" t="s">
        <v>53</v>
      </c>
      <c r="N163" s="14" t="s">
        <v>483</v>
      </c>
      <c r="O163" s="47">
        <v>42542</v>
      </c>
      <c r="P163" s="15"/>
      <c r="Q163" s="16"/>
      <c r="R163" s="14" t="s">
        <v>55</v>
      </c>
      <c r="S163" s="29">
        <v>42381</v>
      </c>
      <c r="T163" s="12" t="s">
        <v>43</v>
      </c>
      <c r="U163" s="10" t="s">
        <v>56</v>
      </c>
      <c r="V163" s="24">
        <f t="shared" ref="V163" si="1246">+SUM(W163:AA163)</f>
        <v>1293318</v>
      </c>
      <c r="W163" s="24">
        <v>581993.1</v>
      </c>
      <c r="X163" s="50">
        <v>323329.5</v>
      </c>
      <c r="Y163" s="24">
        <v>353495.4</v>
      </c>
      <c r="Z163" s="24">
        <v>34500</v>
      </c>
      <c r="AA163" s="24">
        <v>0</v>
      </c>
      <c r="AB163" s="24">
        <f t="shared" ref="AB163" si="1247">+SUM(AC163:AG163)</f>
        <v>0</v>
      </c>
      <c r="AC163" s="24">
        <v>0</v>
      </c>
      <c r="AD163" s="50">
        <v>0</v>
      </c>
      <c r="AE163" s="24">
        <v>0</v>
      </c>
      <c r="AF163" s="24">
        <v>0</v>
      </c>
      <c r="AG163" s="24">
        <v>0</v>
      </c>
      <c r="AH163" s="22">
        <f t="shared" ref="AH163" si="1248">+SUM(AI163:AM163)</f>
        <v>1293318</v>
      </c>
      <c r="AI163" s="22">
        <f t="shared" ref="AI163" si="1249">+W163+AC163</f>
        <v>581993.1</v>
      </c>
      <c r="AJ163" s="37">
        <f t="shared" ref="AJ163" si="1250">+X163+AD163</f>
        <v>323329.5</v>
      </c>
      <c r="AK163" s="22">
        <f t="shared" ref="AK163" si="1251">+Y163+AE163</f>
        <v>353495.4</v>
      </c>
      <c r="AL163" s="22">
        <f t="shared" ref="AL163" si="1252">+Z163+AF163</f>
        <v>34500</v>
      </c>
      <c r="AM163" s="22">
        <f t="shared" ref="AM163" si="1253">+AA163+AG163</f>
        <v>0</v>
      </c>
      <c r="AN163" s="53">
        <f>323329.5</f>
        <v>323329.5</v>
      </c>
      <c r="AO163" s="13">
        <f t="shared" ref="AO163" si="1254">+IF(AJ163=0,"N/A",(AN163)/AJ163)</f>
        <v>1</v>
      </c>
      <c r="AP163" s="17">
        <f t="shared" ref="AP163" si="1255">+AJ163-AN163</f>
        <v>0</v>
      </c>
      <c r="AQ163" s="33"/>
      <c r="AR163" s="128"/>
      <c r="AS163" s="128"/>
      <c r="AT163" s="128"/>
    </row>
    <row r="164" spans="1:46" s="2" customFormat="1" ht="25.5">
      <c r="A164" s="45" t="s">
        <v>511</v>
      </c>
      <c r="B164" s="38" t="s">
        <v>110</v>
      </c>
      <c r="C164" s="38" t="s">
        <v>110</v>
      </c>
      <c r="D164" s="14" t="s">
        <v>512</v>
      </c>
      <c r="E164" s="36" t="s">
        <v>513</v>
      </c>
      <c r="F164" s="46" t="s">
        <v>214</v>
      </c>
      <c r="G164" s="14"/>
      <c r="H164" s="48" t="s">
        <v>96</v>
      </c>
      <c r="I164" s="48">
        <v>14</v>
      </c>
      <c r="J164" s="48">
        <v>74</v>
      </c>
      <c r="K164" s="48">
        <v>14</v>
      </c>
      <c r="L164" s="16" t="s">
        <v>366</v>
      </c>
      <c r="M164" s="11" t="s">
        <v>53</v>
      </c>
      <c r="N164" s="14" t="s">
        <v>483</v>
      </c>
      <c r="O164" s="47">
        <v>42542</v>
      </c>
      <c r="P164" s="15"/>
      <c r="Q164" s="16"/>
      <c r="R164" s="14" t="s">
        <v>55</v>
      </c>
      <c r="S164" s="29">
        <v>42381</v>
      </c>
      <c r="T164" s="12" t="s">
        <v>43</v>
      </c>
      <c r="U164" s="10" t="s">
        <v>56</v>
      </c>
      <c r="V164" s="24">
        <f t="shared" ref="V164" si="1256">+SUM(W164:AA164)</f>
        <v>603548.4</v>
      </c>
      <c r="W164" s="24">
        <v>271596.78000000003</v>
      </c>
      <c r="X164" s="50">
        <v>150887.1</v>
      </c>
      <c r="Y164" s="24">
        <v>164964.51999999999</v>
      </c>
      <c r="Z164" s="24">
        <v>16100</v>
      </c>
      <c r="AA164" s="24">
        <v>0</v>
      </c>
      <c r="AB164" s="24">
        <f t="shared" ref="AB164" si="1257">+SUM(AC164:AG164)</f>
        <v>0</v>
      </c>
      <c r="AC164" s="24">
        <v>0</v>
      </c>
      <c r="AD164" s="50">
        <v>0</v>
      </c>
      <c r="AE164" s="24">
        <v>0</v>
      </c>
      <c r="AF164" s="24">
        <v>0</v>
      </c>
      <c r="AG164" s="24">
        <v>0</v>
      </c>
      <c r="AH164" s="22">
        <f t="shared" ref="AH164" si="1258">+SUM(AI164:AM164)</f>
        <v>603548.4</v>
      </c>
      <c r="AI164" s="22">
        <f t="shared" ref="AI164" si="1259">+W164+AC164</f>
        <v>271596.78000000003</v>
      </c>
      <c r="AJ164" s="37">
        <f t="shared" ref="AJ164" si="1260">+X164+AD164</f>
        <v>150887.1</v>
      </c>
      <c r="AK164" s="22">
        <f t="shared" ref="AK164" si="1261">+Y164+AE164</f>
        <v>164964.51999999999</v>
      </c>
      <c r="AL164" s="22">
        <f t="shared" ref="AL164" si="1262">+Z164+AF164</f>
        <v>16100</v>
      </c>
      <c r="AM164" s="22">
        <f t="shared" ref="AM164" si="1263">+AA164+AG164</f>
        <v>0</v>
      </c>
      <c r="AN164" s="53">
        <f>150887.1</f>
        <v>150887.1</v>
      </c>
      <c r="AO164" s="13">
        <f t="shared" ref="AO164" si="1264">+IF(AJ164=0,"N/A",(AN164)/AJ164)</f>
        <v>1</v>
      </c>
      <c r="AP164" s="17">
        <f t="shared" ref="AP164" si="1265">+AJ164-AN164</f>
        <v>0</v>
      </c>
      <c r="AQ164" s="33"/>
      <c r="AR164" s="128"/>
      <c r="AS164" s="128"/>
      <c r="AT164" s="128"/>
    </row>
    <row r="165" spans="1:46" s="2" customFormat="1" ht="25.5">
      <c r="A165" s="45" t="s">
        <v>480</v>
      </c>
      <c r="B165" s="38" t="s">
        <v>110</v>
      </c>
      <c r="C165" s="38" t="s">
        <v>110</v>
      </c>
      <c r="D165" s="14" t="s">
        <v>481</v>
      </c>
      <c r="E165" s="36" t="s">
        <v>482</v>
      </c>
      <c r="F165" s="46" t="s">
        <v>214</v>
      </c>
      <c r="G165" s="14"/>
      <c r="H165" s="48" t="s">
        <v>96</v>
      </c>
      <c r="I165" s="48">
        <v>18</v>
      </c>
      <c r="J165" s="48">
        <v>79</v>
      </c>
      <c r="K165" s="48">
        <v>18</v>
      </c>
      <c r="L165" s="16" t="s">
        <v>366</v>
      </c>
      <c r="M165" s="11" t="s">
        <v>53</v>
      </c>
      <c r="N165" s="14" t="s">
        <v>483</v>
      </c>
      <c r="O165" s="47">
        <v>42542</v>
      </c>
      <c r="P165" s="15"/>
      <c r="Q165" s="16"/>
      <c r="R165" s="14" t="s">
        <v>55</v>
      </c>
      <c r="S165" s="29">
        <v>42381</v>
      </c>
      <c r="T165" s="12" t="s">
        <v>43</v>
      </c>
      <c r="U165" s="10" t="s">
        <v>56</v>
      </c>
      <c r="V165" s="24">
        <f t="shared" ref="V165" si="1266">+SUM(W165:AA165)</f>
        <v>775990.8</v>
      </c>
      <c r="W165" s="24">
        <v>349195.86</v>
      </c>
      <c r="X165" s="50">
        <v>193997.7</v>
      </c>
      <c r="Y165" s="24">
        <v>212097.24</v>
      </c>
      <c r="Z165" s="24">
        <v>20700</v>
      </c>
      <c r="AA165" s="24">
        <v>0</v>
      </c>
      <c r="AB165" s="24">
        <f t="shared" ref="AB165" si="1267">+SUM(AC165:AG165)</f>
        <v>0</v>
      </c>
      <c r="AC165" s="24">
        <v>0</v>
      </c>
      <c r="AD165" s="50">
        <v>0</v>
      </c>
      <c r="AE165" s="24">
        <v>0</v>
      </c>
      <c r="AF165" s="24">
        <v>0</v>
      </c>
      <c r="AG165" s="24">
        <v>0</v>
      </c>
      <c r="AH165" s="22">
        <f t="shared" ref="AH165" si="1268">+SUM(AI165:AM165)</f>
        <v>775990.8</v>
      </c>
      <c r="AI165" s="22">
        <f t="shared" ref="AI165" si="1269">+W165+AC165</f>
        <v>349195.86</v>
      </c>
      <c r="AJ165" s="37">
        <f t="shared" ref="AJ165" si="1270">+X165+AD165</f>
        <v>193997.7</v>
      </c>
      <c r="AK165" s="22">
        <f t="shared" ref="AK165" si="1271">+Y165+AE165</f>
        <v>212097.24</v>
      </c>
      <c r="AL165" s="22">
        <f t="shared" ref="AL165" si="1272">+Z165+AF165</f>
        <v>20700</v>
      </c>
      <c r="AM165" s="22">
        <f t="shared" ref="AM165" si="1273">+AA165+AG165</f>
        <v>0</v>
      </c>
      <c r="AN165" s="53">
        <f>193997.7</f>
        <v>193997.7</v>
      </c>
      <c r="AO165" s="13">
        <f t="shared" ref="AO165" si="1274">+IF(AJ165=0,"N/A",(AN165)/AJ165)</f>
        <v>1</v>
      </c>
      <c r="AP165" s="17">
        <f t="shared" ref="AP165" si="1275">+AJ165-AN165</f>
        <v>0</v>
      </c>
      <c r="AQ165" s="33"/>
      <c r="AR165" s="128"/>
      <c r="AS165" s="128"/>
      <c r="AT165" s="128"/>
    </row>
    <row r="166" spans="1:46" s="2" customFormat="1" ht="25.5">
      <c r="A166" s="45" t="s">
        <v>484</v>
      </c>
      <c r="B166" s="38" t="s">
        <v>110</v>
      </c>
      <c r="C166" s="38" t="s">
        <v>110</v>
      </c>
      <c r="D166" s="14" t="s">
        <v>485</v>
      </c>
      <c r="E166" s="36" t="s">
        <v>486</v>
      </c>
      <c r="F166" s="46" t="s">
        <v>214</v>
      </c>
      <c r="G166" s="14"/>
      <c r="H166" s="48" t="s">
        <v>96</v>
      </c>
      <c r="I166" s="48">
        <v>5</v>
      </c>
      <c r="J166" s="48">
        <v>21</v>
      </c>
      <c r="K166" s="48">
        <v>5</v>
      </c>
      <c r="L166" s="16" t="s">
        <v>366</v>
      </c>
      <c r="M166" s="11" t="s">
        <v>53</v>
      </c>
      <c r="N166" s="14" t="s">
        <v>483</v>
      </c>
      <c r="O166" s="47">
        <v>42542</v>
      </c>
      <c r="P166" s="15"/>
      <c r="Q166" s="16"/>
      <c r="R166" s="14" t="s">
        <v>55</v>
      </c>
      <c r="S166" s="29">
        <v>42381</v>
      </c>
      <c r="T166" s="12" t="s">
        <v>43</v>
      </c>
      <c r="U166" s="10" t="s">
        <v>56</v>
      </c>
      <c r="V166" s="24">
        <f t="shared" ref="V166" si="1276">+SUM(W166:AA166)</f>
        <v>215553</v>
      </c>
      <c r="W166" s="24">
        <v>96998.85</v>
      </c>
      <c r="X166" s="50">
        <v>53888.25</v>
      </c>
      <c r="Y166" s="24">
        <v>58915.9</v>
      </c>
      <c r="Z166" s="24">
        <v>5750</v>
      </c>
      <c r="AA166" s="24">
        <v>0</v>
      </c>
      <c r="AB166" s="24">
        <f t="shared" ref="AB166" si="1277">+SUM(AC166:AG166)</f>
        <v>0</v>
      </c>
      <c r="AC166" s="24">
        <v>0</v>
      </c>
      <c r="AD166" s="50">
        <v>0</v>
      </c>
      <c r="AE166" s="24">
        <v>0</v>
      </c>
      <c r="AF166" s="24">
        <v>0</v>
      </c>
      <c r="AG166" s="24">
        <v>0</v>
      </c>
      <c r="AH166" s="22">
        <f t="shared" ref="AH166" si="1278">+SUM(AI166:AM166)</f>
        <v>215553</v>
      </c>
      <c r="AI166" s="22">
        <f t="shared" ref="AI166" si="1279">+W166+AC166</f>
        <v>96998.85</v>
      </c>
      <c r="AJ166" s="37">
        <f t="shared" ref="AJ166" si="1280">+X166+AD166</f>
        <v>53888.25</v>
      </c>
      <c r="AK166" s="22">
        <f t="shared" ref="AK166" si="1281">+Y166+AE166</f>
        <v>58915.9</v>
      </c>
      <c r="AL166" s="22">
        <f t="shared" ref="AL166" si="1282">+Z166+AF166</f>
        <v>5750</v>
      </c>
      <c r="AM166" s="22">
        <f t="shared" ref="AM166" si="1283">+AA166+AG166</f>
        <v>0</v>
      </c>
      <c r="AN166" s="53">
        <f>53888.25</f>
        <v>53888.25</v>
      </c>
      <c r="AO166" s="13">
        <f t="shared" ref="AO166" si="1284">+IF(AJ166=0,"N/A",(AN166)/AJ166)</f>
        <v>1</v>
      </c>
      <c r="AP166" s="17">
        <f t="shared" ref="AP166" si="1285">+AJ166-AN166</f>
        <v>0</v>
      </c>
      <c r="AQ166" s="33"/>
      <c r="AR166" s="128"/>
      <c r="AS166" s="128"/>
      <c r="AT166" s="128"/>
    </row>
    <row r="167" spans="1:46" s="2" customFormat="1" ht="25.5">
      <c r="A167" s="45" t="s">
        <v>487</v>
      </c>
      <c r="B167" s="38" t="s">
        <v>110</v>
      </c>
      <c r="C167" s="38" t="s">
        <v>110</v>
      </c>
      <c r="D167" s="14" t="s">
        <v>488</v>
      </c>
      <c r="E167" s="36" t="s">
        <v>489</v>
      </c>
      <c r="F167" s="46" t="s">
        <v>214</v>
      </c>
      <c r="G167" s="14"/>
      <c r="H167" s="48" t="s">
        <v>96</v>
      </c>
      <c r="I167" s="48">
        <v>12</v>
      </c>
      <c r="J167" s="48">
        <v>54</v>
      </c>
      <c r="K167" s="48">
        <v>12</v>
      </c>
      <c r="L167" s="16" t="s">
        <v>366</v>
      </c>
      <c r="M167" s="11" t="s">
        <v>53</v>
      </c>
      <c r="N167" s="14" t="s">
        <v>483</v>
      </c>
      <c r="O167" s="47">
        <v>42542</v>
      </c>
      <c r="P167" s="15"/>
      <c r="Q167" s="16"/>
      <c r="R167" s="14" t="s">
        <v>55</v>
      </c>
      <c r="S167" s="29">
        <v>42381</v>
      </c>
      <c r="T167" s="12" t="s">
        <v>43</v>
      </c>
      <c r="U167" s="10" t="s">
        <v>56</v>
      </c>
      <c r="V167" s="24">
        <f t="shared" ref="V167" si="1286">+SUM(W167:AA167)</f>
        <v>517327.19999999995</v>
      </c>
      <c r="W167" s="24">
        <v>232797.24</v>
      </c>
      <c r="X167" s="50">
        <v>129331.8</v>
      </c>
      <c r="Y167" s="24">
        <v>141398.16</v>
      </c>
      <c r="Z167" s="24">
        <v>13800</v>
      </c>
      <c r="AA167" s="24">
        <v>0</v>
      </c>
      <c r="AB167" s="24">
        <f t="shared" ref="AB167" si="1287">+SUM(AC167:AG167)</f>
        <v>0</v>
      </c>
      <c r="AC167" s="24">
        <v>0</v>
      </c>
      <c r="AD167" s="50">
        <v>0</v>
      </c>
      <c r="AE167" s="24">
        <v>0</v>
      </c>
      <c r="AF167" s="24">
        <v>0</v>
      </c>
      <c r="AG167" s="24">
        <v>0</v>
      </c>
      <c r="AH167" s="22">
        <f t="shared" ref="AH167" si="1288">+SUM(AI167:AM167)</f>
        <v>517327.19999999995</v>
      </c>
      <c r="AI167" s="22">
        <f t="shared" ref="AI167" si="1289">+W167+AC167</f>
        <v>232797.24</v>
      </c>
      <c r="AJ167" s="37">
        <f t="shared" ref="AJ167" si="1290">+X167+AD167</f>
        <v>129331.8</v>
      </c>
      <c r="AK167" s="22">
        <f t="shared" ref="AK167" si="1291">+Y167+AE167</f>
        <v>141398.16</v>
      </c>
      <c r="AL167" s="22">
        <f t="shared" ref="AL167" si="1292">+Z167+AF167</f>
        <v>13800</v>
      </c>
      <c r="AM167" s="22">
        <f t="shared" ref="AM167" si="1293">+AA167+AG167</f>
        <v>0</v>
      </c>
      <c r="AN167" s="53">
        <f>129331.8</f>
        <v>129331.8</v>
      </c>
      <c r="AO167" s="13">
        <f t="shared" ref="AO167" si="1294">+IF(AJ167=0,"N/A",(AN167)/AJ167)</f>
        <v>1</v>
      </c>
      <c r="AP167" s="17">
        <f t="shared" ref="AP167" si="1295">+AJ167-AN167</f>
        <v>0</v>
      </c>
      <c r="AQ167" s="33"/>
      <c r="AR167" s="128"/>
      <c r="AS167" s="128"/>
      <c r="AT167" s="128"/>
    </row>
    <row r="168" spans="1:46" s="2" customFormat="1" ht="25.5">
      <c r="A168" s="45" t="s">
        <v>490</v>
      </c>
      <c r="B168" s="38" t="s">
        <v>110</v>
      </c>
      <c r="C168" s="38" t="s">
        <v>110</v>
      </c>
      <c r="D168" s="14" t="s">
        <v>491</v>
      </c>
      <c r="E168" s="36" t="s">
        <v>492</v>
      </c>
      <c r="F168" s="46" t="s">
        <v>214</v>
      </c>
      <c r="G168" s="14"/>
      <c r="H168" s="48" t="s">
        <v>96</v>
      </c>
      <c r="I168" s="48">
        <v>15</v>
      </c>
      <c r="J168" s="48">
        <v>63</v>
      </c>
      <c r="K168" s="48">
        <v>15</v>
      </c>
      <c r="L168" s="16" t="s">
        <v>366</v>
      </c>
      <c r="M168" s="11" t="s">
        <v>53</v>
      </c>
      <c r="N168" s="14" t="s">
        <v>483</v>
      </c>
      <c r="O168" s="47">
        <v>42542</v>
      </c>
      <c r="P168" s="15"/>
      <c r="Q168" s="16"/>
      <c r="R168" s="14" t="s">
        <v>55</v>
      </c>
      <c r="S168" s="29">
        <v>42381</v>
      </c>
      <c r="T168" s="12" t="s">
        <v>43</v>
      </c>
      <c r="U168" s="10" t="s">
        <v>56</v>
      </c>
      <c r="V168" s="24">
        <f t="shared" ref="V168" si="1296">+SUM(W168:AA168)</f>
        <v>646659</v>
      </c>
      <c r="W168" s="24">
        <v>290996.55</v>
      </c>
      <c r="X168" s="50">
        <v>161664.75</v>
      </c>
      <c r="Y168" s="24">
        <v>176747.7</v>
      </c>
      <c r="Z168" s="24">
        <v>17250</v>
      </c>
      <c r="AA168" s="24">
        <v>0</v>
      </c>
      <c r="AB168" s="24">
        <f t="shared" ref="AB168" si="1297">+SUM(AC168:AG168)</f>
        <v>0</v>
      </c>
      <c r="AC168" s="24">
        <v>0</v>
      </c>
      <c r="AD168" s="50">
        <v>0</v>
      </c>
      <c r="AE168" s="24">
        <v>0</v>
      </c>
      <c r="AF168" s="24">
        <v>0</v>
      </c>
      <c r="AG168" s="24">
        <v>0</v>
      </c>
      <c r="AH168" s="22">
        <f t="shared" ref="AH168" si="1298">+SUM(AI168:AM168)</f>
        <v>646659</v>
      </c>
      <c r="AI168" s="22">
        <f t="shared" ref="AI168" si="1299">+W168+AC168</f>
        <v>290996.55</v>
      </c>
      <c r="AJ168" s="37">
        <f t="shared" ref="AJ168" si="1300">+X168+AD168</f>
        <v>161664.75</v>
      </c>
      <c r="AK168" s="22">
        <f t="shared" ref="AK168" si="1301">+Y168+AE168</f>
        <v>176747.7</v>
      </c>
      <c r="AL168" s="22">
        <f t="shared" ref="AL168" si="1302">+Z168+AF168</f>
        <v>17250</v>
      </c>
      <c r="AM168" s="22">
        <f t="shared" ref="AM168" si="1303">+AA168+AG168</f>
        <v>0</v>
      </c>
      <c r="AN168" s="53">
        <f>161664.75</f>
        <v>161664.75</v>
      </c>
      <c r="AO168" s="13">
        <f t="shared" ref="AO168" si="1304">+IF(AJ168=0,"N/A",(AN168)/AJ168)</f>
        <v>1</v>
      </c>
      <c r="AP168" s="17">
        <f t="shared" ref="AP168" si="1305">+AJ168-AN168</f>
        <v>0</v>
      </c>
      <c r="AQ168" s="33"/>
      <c r="AR168" s="128"/>
      <c r="AS168" s="128"/>
      <c r="AT168" s="128"/>
    </row>
    <row r="169" spans="1:46" s="2" customFormat="1" ht="25.5">
      <c r="A169" s="45" t="s">
        <v>595</v>
      </c>
      <c r="B169" s="38" t="s">
        <v>596</v>
      </c>
      <c r="C169" s="38" t="s">
        <v>596</v>
      </c>
      <c r="D169" s="14" t="s">
        <v>596</v>
      </c>
      <c r="E169" s="36" t="s">
        <v>597</v>
      </c>
      <c r="F169" s="46" t="s">
        <v>214</v>
      </c>
      <c r="G169" s="14"/>
      <c r="H169" s="48" t="s">
        <v>96</v>
      </c>
      <c r="I169" s="48">
        <v>46</v>
      </c>
      <c r="J169" s="48">
        <v>173</v>
      </c>
      <c r="K169" s="48">
        <v>46</v>
      </c>
      <c r="L169" s="16" t="s">
        <v>366</v>
      </c>
      <c r="M169" s="11" t="s">
        <v>53</v>
      </c>
      <c r="N169" s="14" t="s">
        <v>598</v>
      </c>
      <c r="O169" s="47">
        <v>42542</v>
      </c>
      <c r="P169" s="15"/>
      <c r="Q169" s="16"/>
      <c r="R169" s="14" t="s">
        <v>55</v>
      </c>
      <c r="S169" s="29">
        <v>42381</v>
      </c>
      <c r="T169" s="12" t="s">
        <v>43</v>
      </c>
      <c r="U169" s="10" t="s">
        <v>56</v>
      </c>
      <c r="V169" s="24">
        <f t="shared" ref="V169" si="1306">+SUM(W169:AA169)</f>
        <v>1983087.6</v>
      </c>
      <c r="W169" s="24">
        <v>892389.42</v>
      </c>
      <c r="X169" s="50">
        <v>495771.9</v>
      </c>
      <c r="Y169" s="24">
        <v>535433.65</v>
      </c>
      <c r="Z169" s="24">
        <v>59492.63</v>
      </c>
      <c r="AA169" s="24">
        <v>0</v>
      </c>
      <c r="AB169" s="24">
        <f t="shared" ref="AB169" si="1307">+SUM(AC169:AG169)</f>
        <v>0</v>
      </c>
      <c r="AC169" s="24">
        <v>0</v>
      </c>
      <c r="AD169" s="50">
        <v>0</v>
      </c>
      <c r="AE169" s="24">
        <v>0</v>
      </c>
      <c r="AF169" s="24">
        <v>0</v>
      </c>
      <c r="AG169" s="24">
        <v>0</v>
      </c>
      <c r="AH169" s="22">
        <f t="shared" ref="AH169" si="1308">+SUM(AI169:AM169)</f>
        <v>1983087.6</v>
      </c>
      <c r="AI169" s="22">
        <f t="shared" ref="AI169" si="1309">+W169+AC169</f>
        <v>892389.42</v>
      </c>
      <c r="AJ169" s="37">
        <f t="shared" ref="AJ169" si="1310">+X169+AD169</f>
        <v>495771.9</v>
      </c>
      <c r="AK169" s="22">
        <f t="shared" ref="AK169" si="1311">+Y169+AE169</f>
        <v>535433.65</v>
      </c>
      <c r="AL169" s="22">
        <f t="shared" ref="AL169" si="1312">+Z169+AF169</f>
        <v>59492.63</v>
      </c>
      <c r="AM169" s="22">
        <f t="shared" ref="AM169" si="1313">+AA169+AG169</f>
        <v>0</v>
      </c>
      <c r="AN169" s="53">
        <f>495771.9</f>
        <v>495771.9</v>
      </c>
      <c r="AO169" s="13">
        <f t="shared" ref="AO169" si="1314">+IF(AJ169=0,"N/A",(AN169)/AJ169)</f>
        <v>1</v>
      </c>
      <c r="AP169" s="17">
        <f t="shared" ref="AP169" si="1315">+AJ169-AN169</f>
        <v>0</v>
      </c>
      <c r="AQ169" s="33"/>
      <c r="AR169" s="128"/>
      <c r="AS169" s="128"/>
      <c r="AT169" s="128"/>
    </row>
    <row r="170" spans="1:46" s="2" customFormat="1" ht="25.5">
      <c r="A170" s="45" t="s">
        <v>599</v>
      </c>
      <c r="B170" s="38" t="s">
        <v>596</v>
      </c>
      <c r="C170" s="38" t="s">
        <v>596</v>
      </c>
      <c r="D170" s="14" t="s">
        <v>600</v>
      </c>
      <c r="E170" s="36" t="s">
        <v>601</v>
      </c>
      <c r="F170" s="46" t="s">
        <v>214</v>
      </c>
      <c r="G170" s="14"/>
      <c r="H170" s="48" t="s">
        <v>96</v>
      </c>
      <c r="I170" s="48">
        <v>4</v>
      </c>
      <c r="J170" s="48">
        <v>15</v>
      </c>
      <c r="K170" s="48">
        <v>4</v>
      </c>
      <c r="L170" s="16" t="s">
        <v>366</v>
      </c>
      <c r="M170" s="11" t="s">
        <v>53</v>
      </c>
      <c r="N170" s="14" t="s">
        <v>598</v>
      </c>
      <c r="O170" s="47">
        <v>42542</v>
      </c>
      <c r="P170" s="15"/>
      <c r="Q170" s="16"/>
      <c r="R170" s="14" t="s">
        <v>55</v>
      </c>
      <c r="S170" s="29">
        <v>42381</v>
      </c>
      <c r="T170" s="12" t="s">
        <v>43</v>
      </c>
      <c r="U170" s="10" t="s">
        <v>56</v>
      </c>
      <c r="V170" s="24">
        <f t="shared" ref="V170:V171" si="1316">+SUM(W170:AA170)</f>
        <v>172442.4</v>
      </c>
      <c r="W170" s="24">
        <v>77599.08</v>
      </c>
      <c r="X170" s="50">
        <v>43110.6</v>
      </c>
      <c r="Y170" s="24">
        <v>46559.45</v>
      </c>
      <c r="Z170" s="24">
        <v>5173.2700000000004</v>
      </c>
      <c r="AA170" s="24">
        <v>0</v>
      </c>
      <c r="AB170" s="24">
        <f t="shared" ref="AB170:AB171" si="1317">+SUM(AC170:AG170)</f>
        <v>0</v>
      </c>
      <c r="AC170" s="24">
        <v>0</v>
      </c>
      <c r="AD170" s="50">
        <v>0</v>
      </c>
      <c r="AE170" s="24">
        <v>0</v>
      </c>
      <c r="AF170" s="24">
        <v>0</v>
      </c>
      <c r="AG170" s="24">
        <v>0</v>
      </c>
      <c r="AH170" s="22">
        <f t="shared" ref="AH170:AH171" si="1318">+SUM(AI170:AM170)</f>
        <v>172442.4</v>
      </c>
      <c r="AI170" s="22">
        <f t="shared" ref="AI170:AI171" si="1319">+W170+AC170</f>
        <v>77599.08</v>
      </c>
      <c r="AJ170" s="37">
        <f t="shared" ref="AJ170:AJ171" si="1320">+X170+AD170</f>
        <v>43110.6</v>
      </c>
      <c r="AK170" s="22">
        <f t="shared" ref="AK170:AK171" si="1321">+Y170+AE170</f>
        <v>46559.45</v>
      </c>
      <c r="AL170" s="22">
        <f t="shared" ref="AL170:AL171" si="1322">+Z170+AF170</f>
        <v>5173.2700000000004</v>
      </c>
      <c r="AM170" s="22">
        <f t="shared" ref="AM170:AM171" si="1323">+AA170+AG170</f>
        <v>0</v>
      </c>
      <c r="AN170" s="53">
        <f>43110.6</f>
        <v>43110.6</v>
      </c>
      <c r="AO170" s="13">
        <f t="shared" ref="AO170:AO171" si="1324">+IF(AJ170=0,"N/A",(AN170)/AJ170)</f>
        <v>1</v>
      </c>
      <c r="AP170" s="17">
        <f t="shared" ref="AP170:AP171" si="1325">+AJ170-AN170</f>
        <v>0</v>
      </c>
      <c r="AQ170" s="33"/>
      <c r="AR170" s="128"/>
      <c r="AS170" s="128"/>
      <c r="AT170" s="128"/>
    </row>
    <row r="171" spans="1:46" s="2" customFormat="1" ht="25.5">
      <c r="A171" s="45" t="s">
        <v>617</v>
      </c>
      <c r="B171" s="38" t="s">
        <v>93</v>
      </c>
      <c r="C171" s="38" t="s">
        <v>93</v>
      </c>
      <c r="D171" s="14" t="s">
        <v>618</v>
      </c>
      <c r="E171" s="36" t="s">
        <v>619</v>
      </c>
      <c r="F171" s="46" t="s">
        <v>214</v>
      </c>
      <c r="G171" s="14"/>
      <c r="H171" s="48" t="s">
        <v>96</v>
      </c>
      <c r="I171" s="48">
        <v>7</v>
      </c>
      <c r="J171" s="48">
        <v>31</v>
      </c>
      <c r="K171" s="48">
        <v>7</v>
      </c>
      <c r="L171" s="16" t="s">
        <v>366</v>
      </c>
      <c r="M171" s="11" t="s">
        <v>53</v>
      </c>
      <c r="N171" s="14" t="s">
        <v>604</v>
      </c>
      <c r="O171" s="47">
        <v>42542</v>
      </c>
      <c r="P171" s="15"/>
      <c r="Q171" s="16"/>
      <c r="R171" s="14" t="s">
        <v>55</v>
      </c>
      <c r="S171" s="29">
        <v>42381</v>
      </c>
      <c r="T171" s="12" t="s">
        <v>43</v>
      </c>
      <c r="U171" s="10" t="s">
        <v>56</v>
      </c>
      <c r="V171" s="24">
        <f t="shared" si="1316"/>
        <v>301774.2</v>
      </c>
      <c r="W171" s="24">
        <v>135798.39000000001</v>
      </c>
      <c r="X171" s="50">
        <v>75443.55</v>
      </c>
      <c r="Y171" s="24">
        <v>82482.259999999995</v>
      </c>
      <c r="Z171" s="24">
        <v>8050</v>
      </c>
      <c r="AA171" s="24">
        <v>0</v>
      </c>
      <c r="AB171" s="24">
        <f t="shared" si="1317"/>
        <v>0</v>
      </c>
      <c r="AC171" s="24">
        <v>0</v>
      </c>
      <c r="AD171" s="50">
        <v>0</v>
      </c>
      <c r="AE171" s="24">
        <v>0</v>
      </c>
      <c r="AF171" s="24">
        <v>0</v>
      </c>
      <c r="AG171" s="24">
        <v>0</v>
      </c>
      <c r="AH171" s="22">
        <f t="shared" si="1318"/>
        <v>301774.2</v>
      </c>
      <c r="AI171" s="22">
        <f t="shared" si="1319"/>
        <v>135798.39000000001</v>
      </c>
      <c r="AJ171" s="37">
        <f t="shared" si="1320"/>
        <v>75443.55</v>
      </c>
      <c r="AK171" s="22">
        <f t="shared" si="1321"/>
        <v>82482.259999999995</v>
      </c>
      <c r="AL171" s="22">
        <f t="shared" si="1322"/>
        <v>8050</v>
      </c>
      <c r="AM171" s="22">
        <f t="shared" si="1323"/>
        <v>0</v>
      </c>
      <c r="AN171" s="53">
        <f>75443.55</f>
        <v>75443.55</v>
      </c>
      <c r="AO171" s="13">
        <f t="shared" si="1324"/>
        <v>1</v>
      </c>
      <c r="AP171" s="17">
        <f t="shared" si="1325"/>
        <v>0</v>
      </c>
      <c r="AQ171" s="33"/>
      <c r="AR171" s="128"/>
      <c r="AS171" s="128"/>
      <c r="AT171" s="128"/>
    </row>
    <row r="172" spans="1:46" s="2" customFormat="1" ht="25.5">
      <c r="A172" s="45" t="s">
        <v>620</v>
      </c>
      <c r="B172" s="38" t="s">
        <v>93</v>
      </c>
      <c r="C172" s="38" t="s">
        <v>93</v>
      </c>
      <c r="D172" s="14" t="s">
        <v>622</v>
      </c>
      <c r="E172" s="36" t="s">
        <v>623</v>
      </c>
      <c r="F172" s="46" t="s">
        <v>214</v>
      </c>
      <c r="G172" s="14"/>
      <c r="H172" s="48" t="s">
        <v>96</v>
      </c>
      <c r="I172" s="48">
        <v>9</v>
      </c>
      <c r="J172" s="48">
        <v>55</v>
      </c>
      <c r="K172" s="48">
        <v>9</v>
      </c>
      <c r="L172" s="16" t="s">
        <v>366</v>
      </c>
      <c r="M172" s="11" t="s">
        <v>53</v>
      </c>
      <c r="N172" s="14" t="s">
        <v>604</v>
      </c>
      <c r="O172" s="47">
        <v>42542</v>
      </c>
      <c r="P172" s="15"/>
      <c r="Q172" s="16"/>
      <c r="R172" s="14" t="s">
        <v>55</v>
      </c>
      <c r="S172" s="29">
        <v>42381</v>
      </c>
      <c r="T172" s="12" t="s">
        <v>43</v>
      </c>
      <c r="U172" s="10" t="s">
        <v>56</v>
      </c>
      <c r="V172" s="24">
        <f t="shared" ref="V172" si="1326">+SUM(W172:AA172)</f>
        <v>387995.4</v>
      </c>
      <c r="W172" s="24">
        <v>174597.93</v>
      </c>
      <c r="X172" s="50">
        <v>96998.85</v>
      </c>
      <c r="Y172" s="24">
        <v>106048.62</v>
      </c>
      <c r="Z172" s="24">
        <v>10350</v>
      </c>
      <c r="AA172" s="24">
        <v>0</v>
      </c>
      <c r="AB172" s="24">
        <f t="shared" ref="AB172" si="1327">+SUM(AC172:AG172)</f>
        <v>0</v>
      </c>
      <c r="AC172" s="24">
        <v>0</v>
      </c>
      <c r="AD172" s="50">
        <v>0</v>
      </c>
      <c r="AE172" s="24">
        <v>0</v>
      </c>
      <c r="AF172" s="24">
        <v>0</v>
      </c>
      <c r="AG172" s="24">
        <v>0</v>
      </c>
      <c r="AH172" s="22">
        <f t="shared" ref="AH172" si="1328">+SUM(AI172:AM172)</f>
        <v>387995.4</v>
      </c>
      <c r="AI172" s="22">
        <f t="shared" ref="AI172" si="1329">+W172+AC172</f>
        <v>174597.93</v>
      </c>
      <c r="AJ172" s="37">
        <f t="shared" ref="AJ172" si="1330">+X172+AD172</f>
        <v>96998.85</v>
      </c>
      <c r="AK172" s="22">
        <f t="shared" ref="AK172" si="1331">+Y172+AE172</f>
        <v>106048.62</v>
      </c>
      <c r="AL172" s="22">
        <f t="shared" ref="AL172" si="1332">+Z172+AF172</f>
        <v>10350</v>
      </c>
      <c r="AM172" s="22">
        <f t="shared" ref="AM172" si="1333">+AA172+AG172</f>
        <v>0</v>
      </c>
      <c r="AN172" s="53">
        <v>96998.85</v>
      </c>
      <c r="AO172" s="13">
        <f t="shared" ref="AO172" si="1334">+IF(AJ172=0,"N/A",(AN172)/AJ172)</f>
        <v>1</v>
      </c>
      <c r="AP172" s="17">
        <f t="shared" ref="AP172" si="1335">+AJ172-AN172</f>
        <v>0</v>
      </c>
      <c r="AQ172" s="33"/>
      <c r="AR172" s="128"/>
      <c r="AS172" s="128"/>
      <c r="AT172" s="128"/>
    </row>
    <row r="173" spans="1:46" s="2" customFormat="1" ht="25.5">
      <c r="A173" s="45" t="s">
        <v>621</v>
      </c>
      <c r="B173" s="38" t="s">
        <v>93</v>
      </c>
      <c r="C173" s="38" t="s">
        <v>93</v>
      </c>
      <c r="D173" s="14" t="s">
        <v>624</v>
      </c>
      <c r="E173" s="36" t="s">
        <v>625</v>
      </c>
      <c r="F173" s="46" t="s">
        <v>214</v>
      </c>
      <c r="G173" s="14"/>
      <c r="H173" s="48" t="s">
        <v>96</v>
      </c>
      <c r="I173" s="48">
        <v>33</v>
      </c>
      <c r="J173" s="48">
        <v>123</v>
      </c>
      <c r="K173" s="48">
        <v>33</v>
      </c>
      <c r="L173" s="16" t="s">
        <v>366</v>
      </c>
      <c r="M173" s="11" t="s">
        <v>53</v>
      </c>
      <c r="N173" s="14" t="s">
        <v>604</v>
      </c>
      <c r="O173" s="47">
        <v>42542</v>
      </c>
      <c r="P173" s="15"/>
      <c r="Q173" s="16"/>
      <c r="R173" s="14" t="s">
        <v>55</v>
      </c>
      <c r="S173" s="29">
        <v>42381</v>
      </c>
      <c r="T173" s="12" t="s">
        <v>43</v>
      </c>
      <c r="U173" s="10" t="s">
        <v>56</v>
      </c>
      <c r="V173" s="24">
        <f t="shared" ref="V173" si="1336">+SUM(W173:AA173)</f>
        <v>1422649.8</v>
      </c>
      <c r="W173" s="24">
        <v>640192.41</v>
      </c>
      <c r="X173" s="50">
        <v>355662.45</v>
      </c>
      <c r="Y173" s="24">
        <v>388844.94</v>
      </c>
      <c r="Z173" s="24">
        <v>37950</v>
      </c>
      <c r="AA173" s="24">
        <v>0</v>
      </c>
      <c r="AB173" s="24">
        <f t="shared" ref="AB173" si="1337">+SUM(AC173:AG173)</f>
        <v>0</v>
      </c>
      <c r="AC173" s="24">
        <v>0</v>
      </c>
      <c r="AD173" s="50">
        <v>0</v>
      </c>
      <c r="AE173" s="24">
        <v>0</v>
      </c>
      <c r="AF173" s="24">
        <v>0</v>
      </c>
      <c r="AG173" s="24">
        <v>0</v>
      </c>
      <c r="AH173" s="22">
        <f t="shared" ref="AH173" si="1338">+SUM(AI173:AM173)</f>
        <v>1422649.8</v>
      </c>
      <c r="AI173" s="22">
        <f t="shared" ref="AI173" si="1339">+W173+AC173</f>
        <v>640192.41</v>
      </c>
      <c r="AJ173" s="37">
        <f t="shared" ref="AJ173" si="1340">+X173+AD173</f>
        <v>355662.45</v>
      </c>
      <c r="AK173" s="22">
        <f t="shared" ref="AK173" si="1341">+Y173+AE173</f>
        <v>388844.94</v>
      </c>
      <c r="AL173" s="22">
        <f t="shared" ref="AL173" si="1342">+Z173+AF173</f>
        <v>37950</v>
      </c>
      <c r="AM173" s="22">
        <f t="shared" ref="AM173" si="1343">+AA173+AG173</f>
        <v>0</v>
      </c>
      <c r="AN173" s="53">
        <v>355662.45</v>
      </c>
      <c r="AO173" s="13">
        <f t="shared" ref="AO173" si="1344">+IF(AJ173=0,"N/A",(AN173)/AJ173)</f>
        <v>1</v>
      </c>
      <c r="AP173" s="17">
        <f t="shared" ref="AP173" si="1345">+AJ173-AN173</f>
        <v>0</v>
      </c>
      <c r="AQ173" s="33"/>
      <c r="AR173" s="128"/>
      <c r="AS173" s="128"/>
      <c r="AT173" s="128"/>
    </row>
    <row r="174" spans="1:46" s="2" customFormat="1" ht="38.25">
      <c r="A174" s="45" t="s">
        <v>626</v>
      </c>
      <c r="B174" s="38" t="s">
        <v>93</v>
      </c>
      <c r="C174" s="38" t="s">
        <v>93</v>
      </c>
      <c r="D174" s="14" t="s">
        <v>627</v>
      </c>
      <c r="E174" s="36" t="s">
        <v>628</v>
      </c>
      <c r="F174" s="46" t="s">
        <v>214</v>
      </c>
      <c r="G174" s="14"/>
      <c r="H174" s="48" t="s">
        <v>96</v>
      </c>
      <c r="I174" s="48">
        <v>1</v>
      </c>
      <c r="J174" s="48">
        <v>3</v>
      </c>
      <c r="K174" s="48">
        <v>1</v>
      </c>
      <c r="L174" s="16" t="s">
        <v>366</v>
      </c>
      <c r="M174" s="11" t="s">
        <v>53</v>
      </c>
      <c r="N174" s="14" t="s">
        <v>604</v>
      </c>
      <c r="O174" s="47">
        <v>42542</v>
      </c>
      <c r="P174" s="15"/>
      <c r="Q174" s="16"/>
      <c r="R174" s="14" t="s">
        <v>55</v>
      </c>
      <c r="S174" s="29">
        <v>42381</v>
      </c>
      <c r="T174" s="12" t="s">
        <v>43</v>
      </c>
      <c r="U174" s="10" t="s">
        <v>56</v>
      </c>
      <c r="V174" s="24">
        <f t="shared" ref="V174" si="1346">+SUM(W174:AA174)</f>
        <v>43110.6</v>
      </c>
      <c r="W174" s="24">
        <v>19399.77</v>
      </c>
      <c r="X174" s="50">
        <v>10777.65</v>
      </c>
      <c r="Y174" s="24">
        <v>11783.18</v>
      </c>
      <c r="Z174" s="24">
        <v>1150</v>
      </c>
      <c r="AA174" s="24">
        <v>0</v>
      </c>
      <c r="AB174" s="24">
        <f t="shared" ref="AB174" si="1347">+SUM(AC174:AG174)</f>
        <v>0</v>
      </c>
      <c r="AC174" s="24">
        <v>0</v>
      </c>
      <c r="AD174" s="50">
        <v>0</v>
      </c>
      <c r="AE174" s="24">
        <v>0</v>
      </c>
      <c r="AF174" s="24">
        <v>0</v>
      </c>
      <c r="AG174" s="24">
        <v>0</v>
      </c>
      <c r="AH174" s="22">
        <f t="shared" ref="AH174" si="1348">+SUM(AI174:AM174)</f>
        <v>43110.6</v>
      </c>
      <c r="AI174" s="22">
        <f t="shared" ref="AI174" si="1349">+W174+AC174</f>
        <v>19399.77</v>
      </c>
      <c r="AJ174" s="37">
        <f t="shared" ref="AJ174" si="1350">+X174+AD174</f>
        <v>10777.65</v>
      </c>
      <c r="AK174" s="22">
        <f t="shared" ref="AK174" si="1351">+Y174+AE174</f>
        <v>11783.18</v>
      </c>
      <c r="AL174" s="22">
        <f t="shared" ref="AL174" si="1352">+Z174+AF174</f>
        <v>1150</v>
      </c>
      <c r="AM174" s="22">
        <f t="shared" ref="AM174" si="1353">+AA174+AG174</f>
        <v>0</v>
      </c>
      <c r="AN174" s="53">
        <v>10777.65</v>
      </c>
      <c r="AO174" s="13">
        <f t="shared" ref="AO174" si="1354">+IF(AJ174=0,"N/A",(AN174)/AJ174)</f>
        <v>1</v>
      </c>
      <c r="AP174" s="17">
        <f t="shared" ref="AP174" si="1355">+AJ174-AN174</f>
        <v>0</v>
      </c>
      <c r="AQ174" s="33"/>
      <c r="AR174" s="128"/>
      <c r="AS174" s="128"/>
      <c r="AT174" s="128"/>
    </row>
    <row r="175" spans="1:46" s="2" customFormat="1" ht="25.5">
      <c r="A175" s="45" t="s">
        <v>602</v>
      </c>
      <c r="B175" s="38" t="s">
        <v>93</v>
      </c>
      <c r="C175" s="38" t="s">
        <v>93</v>
      </c>
      <c r="D175" s="14" t="s">
        <v>93</v>
      </c>
      <c r="E175" s="36" t="s">
        <v>603</v>
      </c>
      <c r="F175" s="46" t="s">
        <v>214</v>
      </c>
      <c r="G175" s="14"/>
      <c r="H175" s="48" t="s">
        <v>96</v>
      </c>
      <c r="I175" s="48">
        <v>11</v>
      </c>
      <c r="J175" s="48">
        <v>45</v>
      </c>
      <c r="K175" s="48">
        <v>11</v>
      </c>
      <c r="L175" s="16" t="s">
        <v>366</v>
      </c>
      <c r="M175" s="11" t="s">
        <v>53</v>
      </c>
      <c r="N175" s="14" t="s">
        <v>604</v>
      </c>
      <c r="O175" s="47">
        <v>42542</v>
      </c>
      <c r="P175" s="15"/>
      <c r="Q175" s="16"/>
      <c r="R175" s="14" t="s">
        <v>55</v>
      </c>
      <c r="S175" s="29">
        <v>42381</v>
      </c>
      <c r="T175" s="12" t="s">
        <v>43</v>
      </c>
      <c r="U175" s="10" t="s">
        <v>56</v>
      </c>
      <c r="V175" s="24">
        <f t="shared" ref="V175" si="1356">+SUM(W175:AA175)</f>
        <v>474216.6</v>
      </c>
      <c r="W175" s="24">
        <v>213397.47</v>
      </c>
      <c r="X175" s="50">
        <v>118554.15</v>
      </c>
      <c r="Y175" s="24">
        <v>128038.48</v>
      </c>
      <c r="Z175" s="24">
        <v>14226.5</v>
      </c>
      <c r="AA175" s="24">
        <v>0</v>
      </c>
      <c r="AB175" s="24">
        <f t="shared" ref="AB175" si="1357">+SUM(AC175:AG175)</f>
        <v>0</v>
      </c>
      <c r="AC175" s="24">
        <v>0</v>
      </c>
      <c r="AD175" s="50">
        <v>0</v>
      </c>
      <c r="AE175" s="24">
        <v>0</v>
      </c>
      <c r="AF175" s="24">
        <v>0</v>
      </c>
      <c r="AG175" s="24">
        <v>0</v>
      </c>
      <c r="AH175" s="22">
        <f t="shared" ref="AH175" si="1358">+SUM(AI175:AM175)</f>
        <v>474216.6</v>
      </c>
      <c r="AI175" s="22">
        <f t="shared" ref="AI175" si="1359">+W175+AC175</f>
        <v>213397.47</v>
      </c>
      <c r="AJ175" s="37">
        <f t="shared" ref="AJ175" si="1360">+X175+AD175</f>
        <v>118554.15</v>
      </c>
      <c r="AK175" s="22">
        <f t="shared" ref="AK175" si="1361">+Y175+AE175</f>
        <v>128038.48</v>
      </c>
      <c r="AL175" s="22">
        <f t="shared" ref="AL175" si="1362">+Z175+AF175</f>
        <v>14226.5</v>
      </c>
      <c r="AM175" s="22">
        <f t="shared" ref="AM175" si="1363">+AA175+AG175</f>
        <v>0</v>
      </c>
      <c r="AN175" s="53">
        <f>118554.15</f>
        <v>118554.15</v>
      </c>
      <c r="AO175" s="13">
        <f t="shared" ref="AO175" si="1364">+IF(AJ175=0,"N/A",(AN175)/AJ175)</f>
        <v>1</v>
      </c>
      <c r="AP175" s="17">
        <f t="shared" ref="AP175" si="1365">+AJ175-AN175</f>
        <v>0</v>
      </c>
      <c r="AQ175" s="33"/>
      <c r="AR175" s="128"/>
      <c r="AS175" s="128"/>
      <c r="AT175" s="128"/>
    </row>
    <row r="176" spans="1:46" s="2" customFormat="1" ht="25.5">
      <c r="A176" s="45" t="s">
        <v>605</v>
      </c>
      <c r="B176" s="38" t="s">
        <v>93</v>
      </c>
      <c r="C176" s="38" t="s">
        <v>93</v>
      </c>
      <c r="D176" s="14" t="s">
        <v>606</v>
      </c>
      <c r="E176" s="36" t="s">
        <v>607</v>
      </c>
      <c r="F176" s="46" t="s">
        <v>214</v>
      </c>
      <c r="G176" s="14"/>
      <c r="H176" s="48" t="s">
        <v>96</v>
      </c>
      <c r="I176" s="48">
        <v>25</v>
      </c>
      <c r="J176" s="48">
        <v>126</v>
      </c>
      <c r="K176" s="48">
        <v>25</v>
      </c>
      <c r="L176" s="16" t="s">
        <v>366</v>
      </c>
      <c r="M176" s="11" t="s">
        <v>53</v>
      </c>
      <c r="N176" s="14" t="s">
        <v>604</v>
      </c>
      <c r="O176" s="47">
        <v>42542</v>
      </c>
      <c r="P176" s="15"/>
      <c r="Q176" s="16"/>
      <c r="R176" s="14" t="s">
        <v>55</v>
      </c>
      <c r="S176" s="29">
        <v>42381</v>
      </c>
      <c r="T176" s="12" t="s">
        <v>43</v>
      </c>
      <c r="U176" s="10" t="s">
        <v>56</v>
      </c>
      <c r="V176" s="24">
        <f t="shared" ref="V176" si="1366">+SUM(W176:AA176)</f>
        <v>1077765</v>
      </c>
      <c r="W176" s="24">
        <v>484994.25</v>
      </c>
      <c r="X176" s="50">
        <v>269441.25</v>
      </c>
      <c r="Y176" s="24">
        <v>290996.55</v>
      </c>
      <c r="Z176" s="24">
        <v>32332.95</v>
      </c>
      <c r="AA176" s="24">
        <v>0</v>
      </c>
      <c r="AB176" s="24">
        <f t="shared" ref="AB176" si="1367">+SUM(AC176:AG176)</f>
        <v>0</v>
      </c>
      <c r="AC176" s="24">
        <v>0</v>
      </c>
      <c r="AD176" s="50">
        <v>0</v>
      </c>
      <c r="AE176" s="24">
        <v>0</v>
      </c>
      <c r="AF176" s="24">
        <v>0</v>
      </c>
      <c r="AG176" s="24">
        <v>0</v>
      </c>
      <c r="AH176" s="22">
        <f t="shared" ref="AH176" si="1368">+SUM(AI176:AM176)</f>
        <v>1077765</v>
      </c>
      <c r="AI176" s="22">
        <f t="shared" ref="AI176" si="1369">+W176+AC176</f>
        <v>484994.25</v>
      </c>
      <c r="AJ176" s="37">
        <f t="shared" ref="AJ176" si="1370">+X176+AD176</f>
        <v>269441.25</v>
      </c>
      <c r="AK176" s="22">
        <f t="shared" ref="AK176" si="1371">+Y176+AE176</f>
        <v>290996.55</v>
      </c>
      <c r="AL176" s="22">
        <f t="shared" ref="AL176" si="1372">+Z176+AF176</f>
        <v>32332.95</v>
      </c>
      <c r="AM176" s="22">
        <f t="shared" ref="AM176" si="1373">+AA176+AG176</f>
        <v>0</v>
      </c>
      <c r="AN176" s="53">
        <f>269441.25</f>
        <v>269441.25</v>
      </c>
      <c r="AO176" s="13">
        <f t="shared" ref="AO176" si="1374">+IF(AJ176=0,"N/A",(AN176)/AJ176)</f>
        <v>1</v>
      </c>
      <c r="AP176" s="17">
        <f t="shared" ref="AP176" si="1375">+AJ176-AN176</f>
        <v>0</v>
      </c>
      <c r="AQ176" s="33"/>
      <c r="AR176" s="128"/>
      <c r="AS176" s="128"/>
      <c r="AT176" s="128"/>
    </row>
    <row r="177" spans="1:46" s="2" customFormat="1" ht="25.5">
      <c r="A177" s="45" t="s">
        <v>608</v>
      </c>
      <c r="B177" s="38" t="s">
        <v>93</v>
      </c>
      <c r="C177" s="38" t="s">
        <v>93</v>
      </c>
      <c r="D177" s="14" t="s">
        <v>609</v>
      </c>
      <c r="E177" s="36" t="s">
        <v>610</v>
      </c>
      <c r="F177" s="46" t="s">
        <v>214</v>
      </c>
      <c r="G177" s="14"/>
      <c r="H177" s="48" t="s">
        <v>96</v>
      </c>
      <c r="I177" s="48">
        <v>7</v>
      </c>
      <c r="J177" s="48">
        <v>26</v>
      </c>
      <c r="K177" s="48">
        <v>7</v>
      </c>
      <c r="L177" s="16" t="s">
        <v>366</v>
      </c>
      <c r="M177" s="11" t="s">
        <v>53</v>
      </c>
      <c r="N177" s="14" t="s">
        <v>604</v>
      </c>
      <c r="O177" s="47">
        <v>42542</v>
      </c>
      <c r="P177" s="15"/>
      <c r="Q177" s="16"/>
      <c r="R177" s="14" t="s">
        <v>55</v>
      </c>
      <c r="S177" s="29">
        <v>42381</v>
      </c>
      <c r="T177" s="12" t="s">
        <v>43</v>
      </c>
      <c r="U177" s="10" t="s">
        <v>56</v>
      </c>
      <c r="V177" s="24">
        <f t="shared" ref="V177" si="1376">+SUM(W177:AA177)</f>
        <v>301774.19999999995</v>
      </c>
      <c r="W177" s="24">
        <v>135798.39000000001</v>
      </c>
      <c r="X177" s="50">
        <v>75443.55</v>
      </c>
      <c r="Y177" s="24">
        <v>81479.03</v>
      </c>
      <c r="Z177" s="24">
        <v>9053.23</v>
      </c>
      <c r="AA177" s="24">
        <v>0</v>
      </c>
      <c r="AB177" s="24">
        <f t="shared" ref="AB177" si="1377">+SUM(AC177:AG177)</f>
        <v>0</v>
      </c>
      <c r="AC177" s="24">
        <v>0</v>
      </c>
      <c r="AD177" s="50">
        <v>0</v>
      </c>
      <c r="AE177" s="24">
        <v>0</v>
      </c>
      <c r="AF177" s="24">
        <v>0</v>
      </c>
      <c r="AG177" s="24">
        <v>0</v>
      </c>
      <c r="AH177" s="22">
        <f t="shared" ref="AH177" si="1378">+SUM(AI177:AM177)</f>
        <v>301774.19999999995</v>
      </c>
      <c r="AI177" s="22">
        <f t="shared" ref="AI177" si="1379">+W177+AC177</f>
        <v>135798.39000000001</v>
      </c>
      <c r="AJ177" s="37">
        <f t="shared" ref="AJ177" si="1380">+X177+AD177</f>
        <v>75443.55</v>
      </c>
      <c r="AK177" s="22">
        <f t="shared" ref="AK177" si="1381">+Y177+AE177</f>
        <v>81479.03</v>
      </c>
      <c r="AL177" s="22">
        <f t="shared" ref="AL177" si="1382">+Z177+AF177</f>
        <v>9053.23</v>
      </c>
      <c r="AM177" s="22">
        <f t="shared" ref="AM177" si="1383">+AA177+AG177</f>
        <v>0</v>
      </c>
      <c r="AN177" s="53">
        <f>75443.55</f>
        <v>75443.55</v>
      </c>
      <c r="AO177" s="13">
        <f t="shared" ref="AO177" si="1384">+IF(AJ177=0,"N/A",(AN177)/AJ177)</f>
        <v>1</v>
      </c>
      <c r="AP177" s="17">
        <f t="shared" ref="AP177" si="1385">+AJ177-AN177</f>
        <v>0</v>
      </c>
      <c r="AQ177" s="33"/>
      <c r="AR177" s="128"/>
      <c r="AS177" s="128"/>
      <c r="AT177" s="128"/>
    </row>
    <row r="178" spans="1:46" s="2" customFormat="1" ht="25.5">
      <c r="A178" s="45" t="s">
        <v>611</v>
      </c>
      <c r="B178" s="38" t="s">
        <v>93</v>
      </c>
      <c r="C178" s="38" t="s">
        <v>93</v>
      </c>
      <c r="D178" s="14" t="s">
        <v>612</v>
      </c>
      <c r="E178" s="36" t="s">
        <v>613</v>
      </c>
      <c r="F178" s="46" t="s">
        <v>214</v>
      </c>
      <c r="G178" s="14"/>
      <c r="H178" s="48" t="s">
        <v>96</v>
      </c>
      <c r="I178" s="48">
        <v>2</v>
      </c>
      <c r="J178" s="48">
        <v>9</v>
      </c>
      <c r="K178" s="48">
        <v>2</v>
      </c>
      <c r="L178" s="16" t="s">
        <v>366</v>
      </c>
      <c r="M178" s="11" t="s">
        <v>53</v>
      </c>
      <c r="N178" s="14" t="s">
        <v>604</v>
      </c>
      <c r="O178" s="47">
        <v>42542</v>
      </c>
      <c r="P178" s="15"/>
      <c r="Q178" s="16"/>
      <c r="R178" s="14" t="s">
        <v>55</v>
      </c>
      <c r="S178" s="29">
        <v>42381</v>
      </c>
      <c r="T178" s="12" t="s">
        <v>43</v>
      </c>
      <c r="U178" s="10" t="s">
        <v>56</v>
      </c>
      <c r="V178" s="24">
        <f t="shared" ref="V178" si="1386">+SUM(W178:AA178)</f>
        <v>86221.2</v>
      </c>
      <c r="W178" s="24">
        <v>38799.54</v>
      </c>
      <c r="X178" s="50">
        <v>21555.3</v>
      </c>
      <c r="Y178" s="24">
        <v>23279.72</v>
      </c>
      <c r="Z178" s="24">
        <v>2586.64</v>
      </c>
      <c r="AA178" s="24">
        <v>0</v>
      </c>
      <c r="AB178" s="24">
        <f t="shared" ref="AB178" si="1387">+SUM(AC178:AG178)</f>
        <v>0</v>
      </c>
      <c r="AC178" s="24">
        <v>0</v>
      </c>
      <c r="AD178" s="50">
        <v>0</v>
      </c>
      <c r="AE178" s="24">
        <v>0</v>
      </c>
      <c r="AF178" s="24">
        <v>0</v>
      </c>
      <c r="AG178" s="24">
        <v>0</v>
      </c>
      <c r="AH178" s="22">
        <f t="shared" ref="AH178" si="1388">+SUM(AI178:AM178)</f>
        <v>86221.2</v>
      </c>
      <c r="AI178" s="22">
        <f t="shared" ref="AI178" si="1389">+W178+AC178</f>
        <v>38799.54</v>
      </c>
      <c r="AJ178" s="37">
        <f t="shared" ref="AJ178" si="1390">+X178+AD178</f>
        <v>21555.3</v>
      </c>
      <c r="AK178" s="22">
        <f t="shared" ref="AK178" si="1391">+Y178+AE178</f>
        <v>23279.72</v>
      </c>
      <c r="AL178" s="22">
        <f t="shared" ref="AL178" si="1392">+Z178+AF178</f>
        <v>2586.64</v>
      </c>
      <c r="AM178" s="22">
        <f t="shared" ref="AM178" si="1393">+AA178+AG178</f>
        <v>0</v>
      </c>
      <c r="AN178" s="53">
        <f>21555.3</f>
        <v>21555.3</v>
      </c>
      <c r="AO178" s="13">
        <f t="shared" ref="AO178" si="1394">+IF(AJ178=0,"N/A",(AN178)/AJ178)</f>
        <v>1</v>
      </c>
      <c r="AP178" s="17">
        <f t="shared" ref="AP178" si="1395">+AJ178-AN178</f>
        <v>0</v>
      </c>
      <c r="AQ178" s="33"/>
      <c r="AR178" s="128"/>
      <c r="AS178" s="128"/>
      <c r="AT178" s="128"/>
    </row>
    <row r="179" spans="1:46" s="2" customFormat="1" ht="25.5">
      <c r="A179" s="45" t="s">
        <v>614</v>
      </c>
      <c r="B179" s="38" t="s">
        <v>93</v>
      </c>
      <c r="C179" s="38" t="s">
        <v>93</v>
      </c>
      <c r="D179" s="14" t="s">
        <v>615</v>
      </c>
      <c r="E179" s="36" t="s">
        <v>616</v>
      </c>
      <c r="F179" s="46" t="s">
        <v>214</v>
      </c>
      <c r="G179" s="14"/>
      <c r="H179" s="48" t="s">
        <v>96</v>
      </c>
      <c r="I179" s="48">
        <v>5</v>
      </c>
      <c r="J179" s="48">
        <v>28</v>
      </c>
      <c r="K179" s="48">
        <v>5</v>
      </c>
      <c r="L179" s="16" t="s">
        <v>366</v>
      </c>
      <c r="M179" s="11" t="s">
        <v>53</v>
      </c>
      <c r="N179" s="14" t="s">
        <v>604</v>
      </c>
      <c r="O179" s="47">
        <v>42542</v>
      </c>
      <c r="P179" s="15"/>
      <c r="Q179" s="16"/>
      <c r="R179" s="14" t="s">
        <v>55</v>
      </c>
      <c r="S179" s="29">
        <v>42381</v>
      </c>
      <c r="T179" s="12" t="s">
        <v>43</v>
      </c>
      <c r="U179" s="10" t="s">
        <v>56</v>
      </c>
      <c r="V179" s="24">
        <f t="shared" ref="V179:V182" si="1396">+SUM(W179:AA179)</f>
        <v>215553</v>
      </c>
      <c r="W179" s="24">
        <v>96998.85</v>
      </c>
      <c r="X179" s="50">
        <v>53888.25</v>
      </c>
      <c r="Y179" s="24">
        <v>58199.31</v>
      </c>
      <c r="Z179" s="24">
        <v>6466.59</v>
      </c>
      <c r="AA179" s="24">
        <v>0</v>
      </c>
      <c r="AB179" s="24">
        <f t="shared" ref="AB179:AB182" si="1397">+SUM(AC179:AG179)</f>
        <v>0</v>
      </c>
      <c r="AC179" s="24">
        <v>0</v>
      </c>
      <c r="AD179" s="50">
        <v>0</v>
      </c>
      <c r="AE179" s="24">
        <v>0</v>
      </c>
      <c r="AF179" s="24">
        <v>0</v>
      </c>
      <c r="AG179" s="24">
        <v>0</v>
      </c>
      <c r="AH179" s="22">
        <f t="shared" ref="AH179:AH182" si="1398">+SUM(AI179:AM179)</f>
        <v>215553</v>
      </c>
      <c r="AI179" s="22">
        <f t="shared" ref="AI179:AI182" si="1399">+W179+AC179</f>
        <v>96998.85</v>
      </c>
      <c r="AJ179" s="37">
        <f t="shared" ref="AJ179:AJ182" si="1400">+X179+AD179</f>
        <v>53888.25</v>
      </c>
      <c r="AK179" s="22">
        <f t="shared" ref="AK179:AK182" si="1401">+Y179+AE179</f>
        <v>58199.31</v>
      </c>
      <c r="AL179" s="22">
        <f t="shared" ref="AL179:AL182" si="1402">+Z179+AF179</f>
        <v>6466.59</v>
      </c>
      <c r="AM179" s="22">
        <f t="shared" ref="AM179:AM182" si="1403">+AA179+AG179</f>
        <v>0</v>
      </c>
      <c r="AN179" s="53">
        <f>53888.25</f>
        <v>53888.25</v>
      </c>
      <c r="AO179" s="13">
        <f t="shared" ref="AO179:AO182" si="1404">+IF(AJ179=0,"N/A",(AN179)/AJ179)</f>
        <v>1</v>
      </c>
      <c r="AP179" s="17">
        <f t="shared" ref="AP179:AP182" si="1405">+AJ179-AN179</f>
        <v>0</v>
      </c>
      <c r="AQ179" s="33"/>
      <c r="AR179" s="128"/>
      <c r="AS179" s="128"/>
      <c r="AT179" s="128"/>
    </row>
    <row r="180" spans="1:46" s="2" customFormat="1" ht="38.25">
      <c r="A180" s="45" t="s">
        <v>642</v>
      </c>
      <c r="B180" s="38" t="s">
        <v>127</v>
      </c>
      <c r="C180" s="38" t="s">
        <v>630</v>
      </c>
      <c r="D180" s="14" t="s">
        <v>643</v>
      </c>
      <c r="E180" s="36" t="s">
        <v>644</v>
      </c>
      <c r="F180" s="46" t="s">
        <v>72</v>
      </c>
      <c r="G180" s="14"/>
      <c r="H180" s="48" t="s">
        <v>46</v>
      </c>
      <c r="I180" s="48">
        <v>1</v>
      </c>
      <c r="J180" s="48">
        <v>1735</v>
      </c>
      <c r="K180" s="48">
        <v>453</v>
      </c>
      <c r="L180" s="16" t="s">
        <v>61</v>
      </c>
      <c r="M180" s="11" t="s">
        <v>53</v>
      </c>
      <c r="N180" s="14" t="s">
        <v>645</v>
      </c>
      <c r="O180" s="47">
        <v>42432</v>
      </c>
      <c r="P180" s="15"/>
      <c r="Q180" s="16"/>
      <c r="R180" s="14" t="s">
        <v>55</v>
      </c>
      <c r="S180" s="29">
        <v>42381</v>
      </c>
      <c r="T180" s="12" t="s">
        <v>43</v>
      </c>
      <c r="U180" s="10" t="s">
        <v>56</v>
      </c>
      <c r="V180" s="24">
        <f t="shared" si="1396"/>
        <v>17475448.07</v>
      </c>
      <c r="W180" s="24">
        <v>13980358.460000001</v>
      </c>
      <c r="X180" s="50">
        <v>873772.4</v>
      </c>
      <c r="Y180" s="24">
        <v>2621317.21</v>
      </c>
      <c r="Z180" s="24">
        <v>0</v>
      </c>
      <c r="AA180" s="24">
        <v>0</v>
      </c>
      <c r="AB180" s="24">
        <f t="shared" si="1397"/>
        <v>0</v>
      </c>
      <c r="AC180" s="24">
        <v>0</v>
      </c>
      <c r="AD180" s="50">
        <v>0</v>
      </c>
      <c r="AE180" s="24">
        <v>0</v>
      </c>
      <c r="AF180" s="24">
        <v>0</v>
      </c>
      <c r="AG180" s="24">
        <v>0</v>
      </c>
      <c r="AH180" s="22">
        <f t="shared" si="1398"/>
        <v>17475448.07</v>
      </c>
      <c r="AI180" s="22">
        <f t="shared" si="1399"/>
        <v>13980358.460000001</v>
      </c>
      <c r="AJ180" s="37">
        <f t="shared" si="1400"/>
        <v>873772.4</v>
      </c>
      <c r="AK180" s="22">
        <f t="shared" si="1401"/>
        <v>2621317.21</v>
      </c>
      <c r="AL180" s="22">
        <f t="shared" si="1402"/>
        <v>0</v>
      </c>
      <c r="AM180" s="22">
        <f t="shared" si="1403"/>
        <v>0</v>
      </c>
      <c r="AN180" s="53">
        <f>263931.72+332476.16</f>
        <v>596407.87999999989</v>
      </c>
      <c r="AO180" s="13">
        <f t="shared" si="1404"/>
        <v>0.68256662719033001</v>
      </c>
      <c r="AP180" s="17">
        <f t="shared" si="1405"/>
        <v>277364.52000000014</v>
      </c>
      <c r="AQ180" s="33"/>
      <c r="AR180" s="128"/>
      <c r="AS180" s="128"/>
      <c r="AT180" s="128"/>
    </row>
    <row r="181" spans="1:46" s="2" customFormat="1" ht="51">
      <c r="A181" s="45" t="s">
        <v>638</v>
      </c>
      <c r="B181" s="38" t="s">
        <v>127</v>
      </c>
      <c r="C181" s="38" t="s">
        <v>44</v>
      </c>
      <c r="D181" s="14" t="s">
        <v>639</v>
      </c>
      <c r="E181" s="36" t="s">
        <v>640</v>
      </c>
      <c r="F181" s="46" t="s">
        <v>72</v>
      </c>
      <c r="G181" s="14"/>
      <c r="H181" s="48" t="s">
        <v>46</v>
      </c>
      <c r="I181" s="48">
        <v>1</v>
      </c>
      <c r="J181" s="48">
        <v>192</v>
      </c>
      <c r="K181" s="48">
        <v>50</v>
      </c>
      <c r="L181" s="16" t="s">
        <v>61</v>
      </c>
      <c r="M181" s="11" t="s">
        <v>53</v>
      </c>
      <c r="N181" s="14" t="s">
        <v>641</v>
      </c>
      <c r="O181" s="47">
        <v>42432</v>
      </c>
      <c r="P181" s="15"/>
      <c r="Q181" s="16"/>
      <c r="R181" s="14" t="s">
        <v>55</v>
      </c>
      <c r="S181" s="29">
        <v>42381</v>
      </c>
      <c r="T181" s="12" t="s">
        <v>43</v>
      </c>
      <c r="U181" s="10" t="s">
        <v>56</v>
      </c>
      <c r="V181" s="24">
        <f t="shared" ref="V181" si="1406">+SUM(W181:AA181)</f>
        <v>6000000</v>
      </c>
      <c r="W181" s="24">
        <v>4800000</v>
      </c>
      <c r="X181" s="50">
        <v>300000</v>
      </c>
      <c r="Y181" s="24">
        <v>900000</v>
      </c>
      <c r="Z181" s="24">
        <v>0</v>
      </c>
      <c r="AA181" s="24">
        <v>0</v>
      </c>
      <c r="AB181" s="24">
        <f t="shared" ref="AB181" si="1407">+SUM(AC181:AG181)</f>
        <v>0</v>
      </c>
      <c r="AC181" s="24">
        <v>0</v>
      </c>
      <c r="AD181" s="50">
        <v>0</v>
      </c>
      <c r="AE181" s="24">
        <v>0</v>
      </c>
      <c r="AF181" s="24">
        <v>0</v>
      </c>
      <c r="AG181" s="24">
        <v>0</v>
      </c>
      <c r="AH181" s="22">
        <f t="shared" ref="AH181" si="1408">+SUM(AI181:AM181)</f>
        <v>6000000</v>
      </c>
      <c r="AI181" s="22">
        <f t="shared" ref="AI181" si="1409">+W181+AC181</f>
        <v>4800000</v>
      </c>
      <c r="AJ181" s="37">
        <f t="shared" ref="AJ181" si="1410">+X181+AD181</f>
        <v>300000</v>
      </c>
      <c r="AK181" s="22">
        <f t="shared" ref="AK181" si="1411">+Y181+AE181</f>
        <v>900000</v>
      </c>
      <c r="AL181" s="22">
        <f t="shared" ref="AL181" si="1412">+Z181+AF181</f>
        <v>0</v>
      </c>
      <c r="AM181" s="22">
        <f t="shared" ref="AM181" si="1413">+AA181+AG181</f>
        <v>0</v>
      </c>
      <c r="AN181" s="53">
        <f>91800+190460.45</f>
        <v>282260.45</v>
      </c>
      <c r="AO181" s="13">
        <f t="shared" ref="AO181" si="1414">+IF(AJ181=0,"N/A",(AN181)/AJ181)</f>
        <v>0.94086816666666673</v>
      </c>
      <c r="AP181" s="17">
        <f t="shared" ref="AP181" si="1415">+AJ181-AN181</f>
        <v>17739.549999999988</v>
      </c>
      <c r="AQ181" s="33"/>
      <c r="AR181" s="128"/>
      <c r="AS181" s="128"/>
      <c r="AT181" s="128"/>
    </row>
    <row r="182" spans="1:46" s="2" customFormat="1" ht="38.25">
      <c r="A182" s="45" t="s">
        <v>634</v>
      </c>
      <c r="B182" s="38" t="s">
        <v>127</v>
      </c>
      <c r="C182" s="38" t="s">
        <v>515</v>
      </c>
      <c r="D182" s="14" t="s">
        <v>635</v>
      </c>
      <c r="E182" s="36" t="s">
        <v>636</v>
      </c>
      <c r="F182" s="46" t="s">
        <v>72</v>
      </c>
      <c r="G182" s="14"/>
      <c r="H182" s="48" t="s">
        <v>46</v>
      </c>
      <c r="I182" s="48">
        <v>1</v>
      </c>
      <c r="J182" s="48">
        <v>575</v>
      </c>
      <c r="K182" s="48">
        <v>150</v>
      </c>
      <c r="L182" s="16" t="s">
        <v>61</v>
      </c>
      <c r="M182" s="11" t="s">
        <v>53</v>
      </c>
      <c r="N182" s="14" t="s">
        <v>637</v>
      </c>
      <c r="O182" s="47">
        <v>42432</v>
      </c>
      <c r="P182" s="15"/>
      <c r="Q182" s="16"/>
      <c r="R182" s="14" t="s">
        <v>55</v>
      </c>
      <c r="S182" s="29">
        <v>42381</v>
      </c>
      <c r="T182" s="12" t="s">
        <v>43</v>
      </c>
      <c r="U182" s="10" t="s">
        <v>56</v>
      </c>
      <c r="V182" s="24">
        <f t="shared" si="1396"/>
        <v>7000000</v>
      </c>
      <c r="W182" s="24">
        <v>5600000</v>
      </c>
      <c r="X182" s="50">
        <v>350000</v>
      </c>
      <c r="Y182" s="24">
        <v>1050000</v>
      </c>
      <c r="Z182" s="24">
        <v>0</v>
      </c>
      <c r="AA182" s="24">
        <v>0</v>
      </c>
      <c r="AB182" s="24">
        <f t="shared" si="1397"/>
        <v>0</v>
      </c>
      <c r="AC182" s="24">
        <v>0</v>
      </c>
      <c r="AD182" s="50">
        <v>0</v>
      </c>
      <c r="AE182" s="24">
        <v>0</v>
      </c>
      <c r="AF182" s="24">
        <v>0</v>
      </c>
      <c r="AG182" s="24">
        <v>0</v>
      </c>
      <c r="AH182" s="22">
        <f t="shared" si="1398"/>
        <v>7000000</v>
      </c>
      <c r="AI182" s="22">
        <f t="shared" si="1399"/>
        <v>5600000</v>
      </c>
      <c r="AJ182" s="37">
        <f t="shared" si="1400"/>
        <v>350000</v>
      </c>
      <c r="AK182" s="22">
        <f t="shared" si="1401"/>
        <v>1050000</v>
      </c>
      <c r="AL182" s="22">
        <f t="shared" si="1402"/>
        <v>0</v>
      </c>
      <c r="AM182" s="22">
        <f t="shared" si="1403"/>
        <v>0</v>
      </c>
      <c r="AN182" s="53">
        <f>106800+233626.75</f>
        <v>340426.75</v>
      </c>
      <c r="AO182" s="13">
        <f t="shared" si="1404"/>
        <v>0.97264785714285718</v>
      </c>
      <c r="AP182" s="17">
        <f t="shared" si="1405"/>
        <v>9573.25</v>
      </c>
      <c r="AQ182" s="33"/>
      <c r="AR182" s="128"/>
      <c r="AS182" s="128"/>
      <c r="AT182" s="128"/>
    </row>
    <row r="183" spans="1:46" s="2" customFormat="1" ht="38.25">
      <c r="A183" s="45" t="s">
        <v>629</v>
      </c>
      <c r="B183" s="38" t="s">
        <v>127</v>
      </c>
      <c r="C183" s="38" t="s">
        <v>630</v>
      </c>
      <c r="D183" s="14" t="s">
        <v>631</v>
      </c>
      <c r="E183" s="36" t="s">
        <v>632</v>
      </c>
      <c r="F183" s="46" t="s">
        <v>72</v>
      </c>
      <c r="G183" s="14"/>
      <c r="H183" s="48" t="s">
        <v>46</v>
      </c>
      <c r="I183" s="48">
        <v>1</v>
      </c>
      <c r="J183" s="48">
        <v>3344</v>
      </c>
      <c r="K183" s="48">
        <v>873</v>
      </c>
      <c r="L183" s="16" t="s">
        <v>61</v>
      </c>
      <c r="M183" s="11" t="s">
        <v>53</v>
      </c>
      <c r="N183" s="14" t="s">
        <v>633</v>
      </c>
      <c r="O183" s="47">
        <v>42432</v>
      </c>
      <c r="P183" s="15"/>
      <c r="Q183" s="16"/>
      <c r="R183" s="14" t="s">
        <v>55</v>
      </c>
      <c r="S183" s="29">
        <v>42381</v>
      </c>
      <c r="T183" s="12" t="s">
        <v>43</v>
      </c>
      <c r="U183" s="10" t="s">
        <v>56</v>
      </c>
      <c r="V183" s="24">
        <f t="shared" ref="V183" si="1416">+SUM(W183:AA183)</f>
        <v>14000000</v>
      </c>
      <c r="W183" s="24">
        <v>11200000</v>
      </c>
      <c r="X183" s="50">
        <v>700000</v>
      </c>
      <c r="Y183" s="24">
        <v>2100000</v>
      </c>
      <c r="Z183" s="24">
        <v>0</v>
      </c>
      <c r="AA183" s="24">
        <v>0</v>
      </c>
      <c r="AB183" s="24">
        <f t="shared" ref="AB183" si="1417">+SUM(AC183:AG183)</f>
        <v>0</v>
      </c>
      <c r="AC183" s="24">
        <v>0</v>
      </c>
      <c r="AD183" s="50">
        <v>0</v>
      </c>
      <c r="AE183" s="24">
        <v>0</v>
      </c>
      <c r="AF183" s="24">
        <v>0</v>
      </c>
      <c r="AG183" s="24">
        <v>0</v>
      </c>
      <c r="AH183" s="22">
        <f t="shared" ref="AH183" si="1418">+SUM(AI183:AM183)</f>
        <v>14000000</v>
      </c>
      <c r="AI183" s="22">
        <f t="shared" ref="AI183" si="1419">+W183+AC183</f>
        <v>11200000</v>
      </c>
      <c r="AJ183" s="37">
        <f t="shared" ref="AJ183" si="1420">+X183+AD183</f>
        <v>700000</v>
      </c>
      <c r="AK183" s="22">
        <f t="shared" ref="AK183" si="1421">+Y183+AE183</f>
        <v>2100000</v>
      </c>
      <c r="AL183" s="22">
        <f t="shared" ref="AL183" si="1422">+Z183+AF183</f>
        <v>0</v>
      </c>
      <c r="AM183" s="22">
        <f t="shared" ref="AM183" si="1423">+AA183+AG183</f>
        <v>0</v>
      </c>
      <c r="AN183" s="53">
        <f>211800+452420.77</f>
        <v>664220.77</v>
      </c>
      <c r="AO183" s="13">
        <f t="shared" ref="AO183" si="1424">+IF(AJ183=0,"N/A",(AN183)/AJ183)</f>
        <v>0.94888681428571431</v>
      </c>
      <c r="AP183" s="17">
        <f t="shared" ref="AP183" si="1425">+AJ183-AN183</f>
        <v>35779.229999999981</v>
      </c>
      <c r="AQ183" s="33"/>
      <c r="AR183" s="128"/>
      <c r="AS183" s="128"/>
      <c r="AT183" s="128"/>
    </row>
    <row r="185" spans="1:46" s="62" customFormat="1" ht="16.5" thickBot="1">
      <c r="A185" s="54"/>
      <c r="B185" s="54"/>
      <c r="C185" s="54"/>
      <c r="D185" s="54"/>
      <c r="E185" s="54"/>
      <c r="F185" s="54"/>
      <c r="G185" s="55"/>
      <c r="H185" s="54"/>
      <c r="I185" s="56"/>
      <c r="J185" s="54"/>
      <c r="K185" s="54"/>
      <c r="L185" s="57"/>
      <c r="M185" s="54"/>
      <c r="N185" s="54"/>
      <c r="O185" s="58"/>
      <c r="P185" s="54"/>
      <c r="Q185" s="54"/>
      <c r="R185" s="54"/>
      <c r="S185" s="58"/>
      <c r="T185" s="54"/>
      <c r="U185" s="54"/>
      <c r="V185" s="54"/>
      <c r="W185" s="54"/>
      <c r="X185" s="59"/>
      <c r="Y185" s="54"/>
      <c r="Z185" s="54"/>
      <c r="AA185" s="54"/>
      <c r="AB185" s="54"/>
      <c r="AC185" s="54"/>
      <c r="AD185" s="59"/>
      <c r="AE185" s="54"/>
      <c r="AF185" s="54"/>
      <c r="AG185" s="54"/>
      <c r="AH185" s="54"/>
      <c r="AI185" s="54"/>
      <c r="AJ185" s="54"/>
      <c r="AK185" s="54"/>
      <c r="AL185" s="54"/>
      <c r="AM185" s="54"/>
      <c r="AN185" s="60">
        <f>SUM(AN9:AN184)</f>
        <v>44835184.440000005</v>
      </c>
      <c r="AO185" s="54"/>
      <c r="AP185" s="54"/>
      <c r="AQ185" s="61"/>
      <c r="AR185" s="130"/>
      <c r="AS185" s="130"/>
      <c r="AT185" s="130"/>
    </row>
    <row r="186" spans="1:46" ht="15.75" thickTop="1"/>
  </sheetData>
  <autoFilter ref="A8:AO8"/>
  <mergeCells count="30">
    <mergeCell ref="AQ5:AQ7"/>
    <mergeCell ref="AB5:AG6"/>
    <mergeCell ref="AH5:AM6"/>
    <mergeCell ref="AN5:AO6"/>
    <mergeCell ref="AP5:AP6"/>
    <mergeCell ref="V5:AA6"/>
    <mergeCell ref="G5:G7"/>
    <mergeCell ref="H5:K5"/>
    <mergeCell ref="L5:L7"/>
    <mergeCell ref="M5:M7"/>
    <mergeCell ref="N5:O6"/>
    <mergeCell ref="H6:H7"/>
    <mergeCell ref="I6:I7"/>
    <mergeCell ref="J6:K6"/>
    <mergeCell ref="P5:Q6"/>
    <mergeCell ref="R5:S6"/>
    <mergeCell ref="T5:T7"/>
    <mergeCell ref="U5:U7"/>
    <mergeCell ref="D5:D7"/>
    <mergeCell ref="E5:E7"/>
    <mergeCell ref="F5:F7"/>
    <mergeCell ref="A5:A7"/>
    <mergeCell ref="B5:B7"/>
    <mergeCell ref="C5:C7"/>
    <mergeCell ref="AN3:AO3"/>
    <mergeCell ref="AN4:AO4"/>
    <mergeCell ref="A3:T3"/>
    <mergeCell ref="A4:T4"/>
    <mergeCell ref="A1:AO1"/>
    <mergeCell ref="A2:AO2"/>
  </mergeCells>
  <pageMargins left="0.15748031496062992" right="0.15748031496062992" top="0.19685039370078741" bottom="0.15748031496062992" header="0.15748031496062992" footer="0.15748031496062992"/>
  <pageSetup scale="7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BASE GRAL 2015</vt:lpstr>
      <vt:lpstr>'BASE GRAL 2015'!Área_de_impresión</vt:lpstr>
      <vt:lpstr>SALDOS2015</vt:lpstr>
      <vt:lpstr>'BASE GRAL 2015'!Títulos_a_imprimir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GOYTORTUA FLORES</dc:creator>
  <cp:lastModifiedBy>austrebertoa</cp:lastModifiedBy>
  <cp:lastPrinted>2016-10-24T17:28:06Z</cp:lastPrinted>
  <dcterms:created xsi:type="dcterms:W3CDTF">2015-10-08T18:00:06Z</dcterms:created>
  <dcterms:modified xsi:type="dcterms:W3CDTF">2016-10-24T17:42:18Z</dcterms:modified>
</cp:coreProperties>
</file>